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400" windowHeight="5895"/>
  </bookViews>
  <sheets>
    <sheet name="TDSheet" sheetId="1" r:id="rId1"/>
  </sheets>
  <calcPr calcId="125725" refMode="R1C1"/>
</workbook>
</file>

<file path=xl/calcChain.xml><?xml version="1.0" encoding="utf-8"?>
<calcChain xmlns="http://schemas.openxmlformats.org/spreadsheetml/2006/main">
  <c r="V2731" i="1"/>
  <c r="U2731"/>
  <c r="V2730"/>
  <c r="U2730"/>
  <c r="V2729"/>
  <c r="U2729"/>
  <c r="V2728"/>
  <c r="U2728"/>
  <c r="V2727"/>
  <c r="U2727"/>
  <c r="V2726"/>
  <c r="U2726"/>
  <c r="V2725"/>
  <c r="U2725"/>
  <c r="V2724"/>
  <c r="U2724"/>
  <c r="V2723"/>
  <c r="U2723"/>
  <c r="V2722"/>
  <c r="U2722"/>
  <c r="V2721"/>
  <c r="U2721"/>
  <c r="V2720"/>
  <c r="U2720"/>
  <c r="V2719"/>
  <c r="U2719"/>
  <c r="V2718"/>
  <c r="U2718"/>
  <c r="V2717"/>
  <c r="U2717"/>
  <c r="V2716"/>
  <c r="U2716"/>
  <c r="V2715"/>
  <c r="U2715"/>
  <c r="U2714"/>
  <c r="U2713"/>
  <c r="V2712"/>
  <c r="U2712"/>
  <c r="V2711"/>
  <c r="U2711"/>
  <c r="V2710"/>
  <c r="U2710"/>
  <c r="V2709"/>
  <c r="U2709"/>
  <c r="V2708"/>
  <c r="U2708"/>
  <c r="V2707"/>
  <c r="U2707"/>
  <c r="V2706"/>
  <c r="U2706"/>
  <c r="V2705"/>
  <c r="U2705"/>
  <c r="V2704"/>
  <c r="U2704"/>
  <c r="V2703"/>
  <c r="U2703"/>
  <c r="V2702"/>
  <c r="U2702"/>
  <c r="V2701"/>
  <c r="U2701"/>
  <c r="V2700"/>
  <c r="U2700"/>
  <c r="U2699"/>
  <c r="U2698"/>
  <c r="V2697"/>
  <c r="U2697"/>
  <c r="V2696"/>
  <c r="U2696"/>
  <c r="V2695"/>
  <c r="U2695"/>
  <c r="V2694"/>
  <c r="U2694"/>
  <c r="V2693"/>
  <c r="U2693"/>
  <c r="V2692"/>
  <c r="U2692"/>
  <c r="V2691"/>
  <c r="U2691"/>
  <c r="V2690"/>
  <c r="U2690"/>
  <c r="V2689"/>
  <c r="U2689"/>
  <c r="V2688"/>
  <c r="U2688"/>
  <c r="V2687"/>
  <c r="U2687"/>
  <c r="V2686"/>
  <c r="U2686"/>
  <c r="U2685"/>
  <c r="V2684"/>
  <c r="U2684"/>
  <c r="V2683"/>
  <c r="U2683"/>
  <c r="V2682"/>
  <c r="U2682"/>
  <c r="V2681"/>
  <c r="U2681"/>
  <c r="V2680"/>
  <c r="U2680"/>
  <c r="V2679"/>
  <c r="U2679"/>
  <c r="V2678"/>
  <c r="U2678"/>
  <c r="V2677"/>
  <c r="U2677"/>
  <c r="V2676"/>
  <c r="U2676"/>
  <c r="V2675"/>
  <c r="U2675"/>
  <c r="V2674"/>
  <c r="U2674"/>
  <c r="V2673"/>
  <c r="U2673"/>
  <c r="V2672"/>
  <c r="U2672"/>
  <c r="V2671"/>
  <c r="U2671"/>
  <c r="V2670"/>
  <c r="U2670"/>
  <c r="V2669"/>
  <c r="U2669"/>
  <c r="V2668"/>
  <c r="U2668"/>
  <c r="V2667"/>
  <c r="U2667"/>
  <c r="V2666"/>
  <c r="U2666"/>
  <c r="V2665"/>
  <c r="U2665"/>
  <c r="V2664"/>
  <c r="U2664"/>
  <c r="V2663"/>
  <c r="U2663"/>
  <c r="V2662"/>
  <c r="U2662"/>
  <c r="V2661"/>
  <c r="U2661"/>
  <c r="V2660"/>
  <c r="U2660"/>
  <c r="V2659"/>
  <c r="U2659"/>
  <c r="V2658"/>
  <c r="U2658"/>
  <c r="V2657"/>
  <c r="U2657"/>
  <c r="V2656"/>
  <c r="U2656"/>
  <c r="V2655"/>
  <c r="U2655"/>
  <c r="V2654"/>
  <c r="U2654"/>
  <c r="V2653"/>
  <c r="U2653"/>
  <c r="V2652"/>
  <c r="U2652"/>
  <c r="V2651"/>
  <c r="U2651"/>
  <c r="V2650"/>
  <c r="U2650"/>
  <c r="V2649"/>
  <c r="U2649"/>
  <c r="U2648"/>
  <c r="U2647"/>
  <c r="V2646"/>
  <c r="U2646"/>
  <c r="V2645"/>
  <c r="U2645"/>
  <c r="V2644"/>
  <c r="U2644"/>
  <c r="V2643"/>
  <c r="U2643"/>
  <c r="V2642"/>
  <c r="U2642"/>
  <c r="V2641"/>
  <c r="U2641"/>
  <c r="V2640"/>
  <c r="U2640"/>
  <c r="V2639"/>
  <c r="U2639"/>
  <c r="V2638"/>
  <c r="U2638"/>
  <c r="V2637"/>
  <c r="U2637"/>
  <c r="V2636"/>
  <c r="U2636"/>
  <c r="V2635"/>
  <c r="U2635"/>
  <c r="V2634"/>
  <c r="U2634"/>
  <c r="V2633"/>
  <c r="U2633"/>
  <c r="V2632"/>
  <c r="U2632"/>
  <c r="V2631"/>
  <c r="U2631"/>
  <c r="V2630"/>
  <c r="U2630"/>
  <c r="V2629"/>
  <c r="U2629"/>
  <c r="V2628"/>
  <c r="U2628"/>
  <c r="V2627"/>
  <c r="U2627"/>
  <c r="V2626"/>
  <c r="U2626"/>
  <c r="V2625"/>
  <c r="U2625"/>
  <c r="V2624"/>
  <c r="U2624"/>
  <c r="V2623"/>
  <c r="U2623"/>
  <c r="V2622"/>
  <c r="U2622"/>
  <c r="V2621"/>
  <c r="U2621"/>
  <c r="V2620"/>
  <c r="U2620"/>
  <c r="V2619"/>
  <c r="U2619"/>
  <c r="V2618"/>
  <c r="U2618"/>
  <c r="V2617"/>
  <c r="U2617"/>
  <c r="V2616"/>
  <c r="U2616"/>
  <c r="V2615"/>
  <c r="U2615"/>
  <c r="V2614"/>
  <c r="U2614"/>
  <c r="V2613"/>
  <c r="U2613"/>
  <c r="V2612"/>
  <c r="U2612"/>
  <c r="V2611"/>
  <c r="U2611"/>
  <c r="V2610"/>
  <c r="U2610"/>
  <c r="V2609"/>
  <c r="U2609"/>
  <c r="U2608"/>
  <c r="V2607"/>
  <c r="U2607"/>
  <c r="V2606"/>
  <c r="U2606"/>
  <c r="V2605"/>
  <c r="U2605"/>
  <c r="V2604"/>
  <c r="U2604"/>
  <c r="V2603"/>
  <c r="U2603"/>
  <c r="V2602"/>
  <c r="U2602"/>
  <c r="V2601"/>
  <c r="V2600"/>
  <c r="U2600"/>
  <c r="V2599"/>
  <c r="U2599"/>
  <c r="V2598"/>
  <c r="U2598"/>
  <c r="V2597"/>
  <c r="U2597"/>
  <c r="V2596"/>
  <c r="U2596"/>
  <c r="U2595"/>
  <c r="V2594"/>
  <c r="U2594"/>
  <c r="V2593"/>
  <c r="U2593"/>
  <c r="V2592"/>
  <c r="U2592"/>
  <c r="V2591"/>
  <c r="U2591"/>
  <c r="V2590"/>
  <c r="U2590"/>
  <c r="V2589"/>
  <c r="U2589"/>
  <c r="V2588"/>
  <c r="U2588"/>
  <c r="V2587"/>
  <c r="U2587"/>
  <c r="V2586"/>
  <c r="U2586"/>
  <c r="V2585"/>
  <c r="U2585"/>
  <c r="V2584"/>
  <c r="U2584"/>
  <c r="V2583"/>
  <c r="U2583"/>
  <c r="V2582"/>
  <c r="U2582"/>
  <c r="V2581"/>
  <c r="U2581"/>
  <c r="V2580"/>
  <c r="U2580"/>
  <c r="V2579"/>
  <c r="U2579"/>
  <c r="V2578"/>
  <c r="U2578"/>
  <c r="V2577"/>
  <c r="U2577"/>
  <c r="V2576"/>
  <c r="U2576"/>
  <c r="V2575"/>
  <c r="U2575"/>
  <c r="V2574"/>
  <c r="U2574"/>
  <c r="V2573"/>
  <c r="U2573"/>
  <c r="V2572"/>
  <c r="U2572"/>
  <c r="V2571"/>
  <c r="U2571"/>
  <c r="V2570"/>
  <c r="U2570"/>
  <c r="V2569"/>
  <c r="U2569"/>
  <c r="U2568"/>
  <c r="V2567"/>
  <c r="U2567"/>
  <c r="V2566"/>
  <c r="U2566"/>
  <c r="V2565"/>
  <c r="U2565"/>
  <c r="V2564"/>
  <c r="U2564"/>
  <c r="V2563"/>
  <c r="U2563"/>
  <c r="V2562"/>
  <c r="U2562"/>
  <c r="V2561"/>
  <c r="U2561"/>
  <c r="V2560"/>
  <c r="U2560"/>
  <c r="V2559"/>
  <c r="U2559"/>
  <c r="V2558"/>
  <c r="U2558"/>
  <c r="V2557"/>
  <c r="U2557"/>
  <c r="V2556"/>
  <c r="U2556"/>
  <c r="V2555"/>
  <c r="U2555"/>
  <c r="V2554"/>
  <c r="U2554"/>
  <c r="V2553"/>
  <c r="U2553"/>
  <c r="V2552"/>
  <c r="U2552"/>
  <c r="V2551"/>
  <c r="U2551"/>
  <c r="V2550"/>
  <c r="U2550"/>
  <c r="V2549"/>
  <c r="U2549"/>
  <c r="V2548"/>
  <c r="U2548"/>
  <c r="V2547"/>
  <c r="U2547"/>
  <c r="V2546"/>
  <c r="U2546"/>
  <c r="V2545"/>
  <c r="U2545"/>
  <c r="V2544"/>
  <c r="U2544"/>
  <c r="V2543"/>
  <c r="U2543"/>
  <c r="V2542"/>
  <c r="U2542"/>
  <c r="U2541"/>
  <c r="U2540"/>
  <c r="V2539"/>
  <c r="U2539"/>
  <c r="V2538"/>
  <c r="U2538"/>
  <c r="V2537"/>
  <c r="U2537"/>
  <c r="V2536"/>
  <c r="U2536"/>
  <c r="V2535"/>
  <c r="U2535"/>
  <c r="V2534"/>
  <c r="U2534"/>
  <c r="V2533"/>
  <c r="U2533"/>
  <c r="V2532"/>
  <c r="U2532"/>
  <c r="V2531"/>
  <c r="U2531"/>
  <c r="V2530"/>
  <c r="U2530"/>
  <c r="V2529"/>
  <c r="U2529"/>
  <c r="V2528"/>
  <c r="U2528"/>
  <c r="V2527"/>
  <c r="U2527"/>
  <c r="V2526"/>
  <c r="U2526"/>
  <c r="V2525"/>
  <c r="U2525"/>
  <c r="V2524"/>
  <c r="U2524"/>
  <c r="V2523"/>
  <c r="U2523"/>
  <c r="V2522"/>
  <c r="U2522"/>
  <c r="V2521"/>
  <c r="U2521"/>
  <c r="V2520"/>
  <c r="U2520"/>
  <c r="V2519"/>
  <c r="U2519"/>
  <c r="V2518"/>
  <c r="U2518"/>
  <c r="V2517"/>
  <c r="U2517"/>
  <c r="V2516"/>
  <c r="U2516"/>
  <c r="V2515"/>
  <c r="U2515"/>
  <c r="V2514"/>
  <c r="U2514"/>
  <c r="V2513"/>
  <c r="U2513"/>
  <c r="V2512"/>
  <c r="U2512"/>
  <c r="V2511"/>
  <c r="U2511"/>
  <c r="V2510"/>
  <c r="U2510"/>
  <c r="V2509"/>
  <c r="U2509"/>
  <c r="U2508"/>
  <c r="V2507"/>
  <c r="U2507"/>
  <c r="V2506"/>
  <c r="U2506"/>
  <c r="V2505"/>
  <c r="U2505"/>
  <c r="V2504"/>
  <c r="U2504"/>
  <c r="V2503"/>
  <c r="U2503"/>
  <c r="V2502"/>
  <c r="U2502"/>
  <c r="V2501"/>
  <c r="U2501"/>
  <c r="V2500"/>
  <c r="U2500"/>
  <c r="V2499"/>
  <c r="U2499"/>
  <c r="V2498"/>
  <c r="U2498"/>
  <c r="V2497"/>
  <c r="U2497"/>
  <c r="V2496"/>
  <c r="U2496"/>
  <c r="V2495"/>
  <c r="U2495"/>
  <c r="V2494"/>
  <c r="U2494"/>
  <c r="V2493"/>
  <c r="U2493"/>
  <c r="V2492"/>
  <c r="U2492"/>
  <c r="V2491"/>
  <c r="U2491"/>
  <c r="V2490"/>
  <c r="U2490"/>
  <c r="V2489"/>
  <c r="U2489"/>
  <c r="V2488"/>
  <c r="U2488"/>
  <c r="V2487"/>
  <c r="U2487"/>
  <c r="V2486"/>
  <c r="U2486"/>
  <c r="V2485"/>
  <c r="U2485"/>
  <c r="V2484"/>
  <c r="U2484"/>
  <c r="V2483"/>
  <c r="U2483"/>
  <c r="V2482"/>
  <c r="U2482"/>
  <c r="V2481"/>
  <c r="U2481"/>
  <c r="V2480"/>
  <c r="U2480"/>
  <c r="V2479"/>
  <c r="U2479"/>
  <c r="U2478"/>
  <c r="V2477"/>
  <c r="U2477"/>
  <c r="V2476"/>
  <c r="U2476"/>
  <c r="V2475"/>
  <c r="U2474"/>
  <c r="V2473"/>
  <c r="U2473"/>
  <c r="V2472"/>
  <c r="U2472"/>
  <c r="V2471"/>
  <c r="U2471"/>
  <c r="V2470"/>
  <c r="U2470"/>
  <c r="U2469"/>
  <c r="V2468"/>
  <c r="U2468"/>
  <c r="U2467"/>
  <c r="V2466"/>
  <c r="U2466"/>
  <c r="V2465"/>
  <c r="U2465"/>
  <c r="V2464"/>
  <c r="U2464"/>
  <c r="U2463"/>
  <c r="V2462"/>
  <c r="U2462"/>
  <c r="V2461"/>
  <c r="U2461"/>
  <c r="V2460"/>
  <c r="U2460"/>
  <c r="V2459"/>
  <c r="U2459"/>
  <c r="V2458"/>
  <c r="U2458"/>
  <c r="V2457"/>
  <c r="U2457"/>
  <c r="V2456"/>
  <c r="U2456"/>
  <c r="V2455"/>
  <c r="U2455"/>
  <c r="V2454"/>
  <c r="U2454"/>
  <c r="V2453"/>
  <c r="U2453"/>
  <c r="V2452"/>
  <c r="U2452"/>
  <c r="V2451"/>
  <c r="U2451"/>
  <c r="V2450"/>
  <c r="U2450"/>
  <c r="V2449"/>
  <c r="U2449"/>
  <c r="V2448"/>
  <c r="U2448"/>
  <c r="V2447"/>
  <c r="U2447"/>
  <c r="V2446"/>
  <c r="U2446"/>
  <c r="V2445"/>
  <c r="U2445"/>
  <c r="V2444"/>
  <c r="U2444"/>
  <c r="V2443"/>
  <c r="U2443"/>
  <c r="V2442"/>
  <c r="U2442"/>
  <c r="V2441"/>
  <c r="U2441"/>
  <c r="V2440"/>
  <c r="U2440"/>
  <c r="V2439"/>
  <c r="U2439"/>
  <c r="V2438"/>
  <c r="U2438"/>
  <c r="V2437"/>
  <c r="U2437"/>
  <c r="V2436"/>
  <c r="U2436"/>
  <c r="V2435"/>
  <c r="U2435"/>
  <c r="V2434"/>
  <c r="U2434"/>
  <c r="V2433"/>
  <c r="U2433"/>
  <c r="V2432"/>
  <c r="U2432"/>
  <c r="V2431"/>
  <c r="U2431"/>
  <c r="V2430"/>
  <c r="U2430"/>
  <c r="V2429"/>
  <c r="U2429"/>
  <c r="V2428"/>
  <c r="U2428"/>
  <c r="V2427"/>
  <c r="U2427"/>
  <c r="V2426"/>
  <c r="U2426"/>
  <c r="U2425"/>
  <c r="V2424"/>
  <c r="U2424"/>
  <c r="V2423"/>
  <c r="U2423"/>
  <c r="V2422"/>
  <c r="U2422"/>
  <c r="V2421"/>
  <c r="U2421"/>
  <c r="V2420"/>
  <c r="U2420"/>
  <c r="V2419"/>
  <c r="U2419"/>
  <c r="V2418"/>
  <c r="U2418"/>
  <c r="V2417"/>
  <c r="U2417"/>
  <c r="V2416"/>
  <c r="U2416"/>
  <c r="V2415"/>
  <c r="U2415"/>
  <c r="V2414"/>
  <c r="U2414"/>
  <c r="V2413"/>
  <c r="U2413"/>
  <c r="V2412"/>
  <c r="U2412"/>
  <c r="V2411"/>
  <c r="U2411"/>
  <c r="V2410"/>
  <c r="U2410"/>
  <c r="V2409"/>
  <c r="U2409"/>
  <c r="V2408"/>
  <c r="U2408"/>
  <c r="V2407"/>
  <c r="U2407"/>
  <c r="V2406"/>
  <c r="U2406"/>
  <c r="V2405"/>
  <c r="U2405"/>
  <c r="V2404"/>
  <c r="U2404"/>
  <c r="V2403"/>
  <c r="U2403"/>
  <c r="V2402"/>
  <c r="U2402"/>
  <c r="V2401"/>
  <c r="U2401"/>
  <c r="V2400"/>
  <c r="U2400"/>
  <c r="V2399"/>
  <c r="U2399"/>
  <c r="V2398"/>
  <c r="U2398"/>
  <c r="V2397"/>
  <c r="U2397"/>
  <c r="V2396"/>
  <c r="U2396"/>
  <c r="V2395"/>
  <c r="U2395"/>
  <c r="V2394"/>
  <c r="U2394"/>
  <c r="V2393"/>
  <c r="U2393"/>
  <c r="V2392"/>
  <c r="U2392"/>
  <c r="V2391"/>
  <c r="U2391"/>
  <c r="V2390"/>
  <c r="U2390"/>
  <c r="V2389"/>
  <c r="U2389"/>
  <c r="V2388"/>
  <c r="U2388"/>
  <c r="V2387"/>
  <c r="U2387"/>
  <c r="U2386"/>
  <c r="V2385"/>
  <c r="U2385"/>
  <c r="V2384"/>
  <c r="U2384"/>
  <c r="V2383"/>
  <c r="U2383"/>
  <c r="V2382"/>
  <c r="U2382"/>
  <c r="V2381"/>
  <c r="U2381"/>
  <c r="V2380"/>
  <c r="U2380"/>
  <c r="V2379"/>
  <c r="U2379"/>
  <c r="V2378"/>
  <c r="U2378"/>
  <c r="V2377"/>
  <c r="U2377"/>
  <c r="V2376"/>
  <c r="U2376"/>
  <c r="V2375"/>
  <c r="U2375"/>
  <c r="V2374"/>
  <c r="U2374"/>
  <c r="V2373"/>
  <c r="U2373"/>
  <c r="U2372"/>
  <c r="V2371"/>
  <c r="U2371"/>
  <c r="V2370"/>
  <c r="U2370"/>
  <c r="V2369"/>
  <c r="U2369"/>
  <c r="V2368"/>
  <c r="U2368"/>
  <c r="V2367"/>
  <c r="U2367"/>
  <c r="V2366"/>
  <c r="U2366"/>
  <c r="V2365"/>
  <c r="U2365"/>
  <c r="U2364"/>
  <c r="V2363"/>
  <c r="U2363"/>
  <c r="V2362"/>
  <c r="U2362"/>
  <c r="V2361"/>
  <c r="U2361"/>
  <c r="V2360"/>
  <c r="U2360"/>
  <c r="V2359"/>
  <c r="U2359"/>
  <c r="V2358"/>
  <c r="U2358"/>
  <c r="V2357"/>
  <c r="U2357"/>
  <c r="V2356"/>
  <c r="U2356"/>
  <c r="V2355"/>
  <c r="U2355"/>
  <c r="V2354"/>
  <c r="U2354"/>
  <c r="U2353"/>
  <c r="V2352"/>
  <c r="U2352"/>
  <c r="V2351"/>
  <c r="U2351"/>
  <c r="V2350"/>
  <c r="U2350"/>
  <c r="V2349"/>
  <c r="U2349"/>
  <c r="V2348"/>
  <c r="U2348"/>
  <c r="V2347"/>
  <c r="U2347"/>
  <c r="V2346"/>
  <c r="V2345"/>
  <c r="U2345"/>
  <c r="V2344"/>
  <c r="U2344"/>
  <c r="V2343"/>
  <c r="U2343"/>
  <c r="V2342"/>
  <c r="U2342"/>
  <c r="V2341"/>
  <c r="U2341"/>
  <c r="V2340"/>
  <c r="U2340"/>
  <c r="V2339"/>
  <c r="U2339"/>
  <c r="V2338"/>
  <c r="U2338"/>
  <c r="V2337"/>
  <c r="U2337"/>
  <c r="V2336"/>
  <c r="U2336"/>
  <c r="V2335"/>
  <c r="U2335"/>
  <c r="V2334"/>
  <c r="U2334"/>
  <c r="U2333"/>
  <c r="V2332"/>
  <c r="U2332"/>
  <c r="U2331"/>
  <c r="V2330"/>
  <c r="U2330"/>
  <c r="V2329"/>
  <c r="U2329"/>
  <c r="V2328"/>
  <c r="U2328"/>
  <c r="V2327"/>
  <c r="U2327"/>
  <c r="V2326"/>
  <c r="U2326"/>
  <c r="V2325"/>
  <c r="U2325"/>
  <c r="V2324"/>
  <c r="U2324"/>
  <c r="V2323"/>
  <c r="U2323"/>
  <c r="V2322"/>
  <c r="U2322"/>
  <c r="V2321"/>
  <c r="U2321"/>
  <c r="V2320"/>
  <c r="U2320"/>
  <c r="V2319"/>
  <c r="U2319"/>
  <c r="V2318"/>
  <c r="U2318"/>
  <c r="V2317"/>
  <c r="U2317"/>
  <c r="V2316"/>
  <c r="U2316"/>
  <c r="V2315"/>
  <c r="U2315"/>
  <c r="V2314"/>
  <c r="U2314"/>
  <c r="V2313"/>
  <c r="U2313"/>
  <c r="V2312"/>
  <c r="U2312"/>
  <c r="V2311"/>
  <c r="U2311"/>
  <c r="U2310"/>
  <c r="U2309"/>
  <c r="V2308"/>
  <c r="U2308"/>
  <c r="V2307"/>
  <c r="U2307"/>
  <c r="V2305"/>
  <c r="U2305"/>
  <c r="U2304"/>
  <c r="V2303"/>
  <c r="U2303"/>
  <c r="V2302"/>
  <c r="U2302"/>
  <c r="V2301"/>
  <c r="U2301"/>
  <c r="V2300"/>
  <c r="U2300"/>
  <c r="V2299"/>
  <c r="U2299"/>
  <c r="V2298"/>
  <c r="U2298"/>
  <c r="V2297"/>
  <c r="U2297"/>
  <c r="V2296"/>
  <c r="U2296"/>
  <c r="V2295"/>
  <c r="U2295"/>
  <c r="V2294"/>
  <c r="U2294"/>
  <c r="V2293"/>
  <c r="U2293"/>
  <c r="V2292"/>
  <c r="U2292"/>
  <c r="U2291"/>
  <c r="V2290"/>
  <c r="U2290"/>
  <c r="U2289"/>
  <c r="V2288"/>
  <c r="U2288"/>
  <c r="V2287"/>
  <c r="U2287"/>
  <c r="V2286"/>
  <c r="U2286"/>
  <c r="U2285"/>
  <c r="V2284"/>
  <c r="U2284"/>
  <c r="U2283"/>
  <c r="V2282"/>
  <c r="U2282"/>
  <c r="V2281"/>
  <c r="U2281"/>
  <c r="V2280"/>
  <c r="U2280"/>
  <c r="V2279"/>
  <c r="U2279"/>
  <c r="V2278"/>
  <c r="U2278"/>
  <c r="V2277"/>
  <c r="U2277"/>
  <c r="V2276"/>
  <c r="U2276"/>
  <c r="V2275"/>
  <c r="U2275"/>
  <c r="V2274"/>
  <c r="U2274"/>
  <c r="V2273"/>
  <c r="U2273"/>
  <c r="V2272"/>
  <c r="U2272"/>
  <c r="V2271"/>
  <c r="U2271"/>
  <c r="V2270"/>
  <c r="U2270"/>
  <c r="V2269"/>
  <c r="U2269"/>
  <c r="V2268"/>
  <c r="U2268"/>
  <c r="V2267"/>
  <c r="U2267"/>
  <c r="V2266"/>
  <c r="U2266"/>
  <c r="V2265"/>
  <c r="U2265"/>
  <c r="V2264"/>
  <c r="U2264"/>
  <c r="V2263"/>
  <c r="U2263"/>
  <c r="V2262"/>
  <c r="U2262"/>
  <c r="V2261"/>
  <c r="U2261"/>
  <c r="V2260"/>
  <c r="U2260"/>
  <c r="V2259"/>
  <c r="U2259"/>
  <c r="V2258"/>
  <c r="U2258"/>
  <c r="V2257"/>
  <c r="U2257"/>
  <c r="V2256"/>
  <c r="U2256"/>
  <c r="V2255"/>
  <c r="U2255"/>
  <c r="V2254"/>
  <c r="U2254"/>
  <c r="V2253"/>
  <c r="U2253"/>
  <c r="V2252"/>
  <c r="U2252"/>
  <c r="V2251"/>
  <c r="U2251"/>
  <c r="V2250"/>
  <c r="U2250"/>
  <c r="V2249"/>
  <c r="U2249"/>
  <c r="V2248"/>
  <c r="U2248"/>
  <c r="V2247"/>
  <c r="U2247"/>
  <c r="V2246"/>
  <c r="U2246"/>
  <c r="V2245"/>
  <c r="U2245"/>
  <c r="V2244"/>
  <c r="U2244"/>
  <c r="V2243"/>
  <c r="U2243"/>
  <c r="V2242"/>
  <c r="U2242"/>
  <c r="V2241"/>
  <c r="U2241"/>
  <c r="V2240"/>
  <c r="U2240"/>
  <c r="U2239"/>
  <c r="V2238"/>
  <c r="U2238"/>
  <c r="V2237"/>
  <c r="U2237"/>
  <c r="V2236"/>
  <c r="U2236"/>
  <c r="V2235"/>
  <c r="U2235"/>
  <c r="U2234"/>
  <c r="V2233"/>
  <c r="U2233"/>
  <c r="V2232"/>
  <c r="U2232"/>
  <c r="V2231"/>
  <c r="U2231"/>
  <c r="V2230"/>
  <c r="U2230"/>
  <c r="V2229"/>
  <c r="U2229"/>
  <c r="V2228"/>
  <c r="U2228"/>
  <c r="V2227"/>
  <c r="U2227"/>
  <c r="V2226"/>
  <c r="U2226"/>
  <c r="V2225"/>
  <c r="U2225"/>
  <c r="V2224"/>
  <c r="U2224"/>
  <c r="V2223"/>
  <c r="U2223"/>
  <c r="V2222"/>
  <c r="U2222"/>
  <c r="V2221"/>
  <c r="U2221"/>
  <c r="V2220"/>
  <c r="U2220"/>
  <c r="V2219"/>
  <c r="U2219"/>
  <c r="V2218"/>
  <c r="U2218"/>
  <c r="V2217"/>
  <c r="U2217"/>
  <c r="V2216"/>
  <c r="U2216"/>
  <c r="V2215"/>
  <c r="U2215"/>
  <c r="V2214"/>
  <c r="U2214"/>
  <c r="U2213"/>
  <c r="V2212"/>
  <c r="U2212"/>
  <c r="V2211"/>
  <c r="U2211"/>
  <c r="V2210"/>
  <c r="U2210"/>
  <c r="V2209"/>
  <c r="U2209"/>
  <c r="U2208"/>
  <c r="U2207"/>
  <c r="V2206"/>
  <c r="U2206"/>
  <c r="V2205"/>
  <c r="U2205"/>
  <c r="V2204"/>
  <c r="U2204"/>
  <c r="V2203"/>
  <c r="U2203"/>
  <c r="V2202"/>
  <c r="U2202"/>
  <c r="V2201"/>
  <c r="U2201"/>
  <c r="V2200"/>
  <c r="U2200"/>
  <c r="V2199"/>
  <c r="U2199"/>
  <c r="V2198"/>
  <c r="U2198"/>
  <c r="V2197"/>
  <c r="U2197"/>
  <c r="V2196"/>
  <c r="U2196"/>
  <c r="V2195"/>
  <c r="U2195"/>
  <c r="V2194"/>
  <c r="U2194"/>
  <c r="V2193"/>
  <c r="U2193"/>
  <c r="V2192"/>
  <c r="U2192"/>
  <c r="V2191"/>
  <c r="U2191"/>
  <c r="V2190"/>
  <c r="U2190"/>
  <c r="V2189"/>
  <c r="U2189"/>
  <c r="V2188"/>
  <c r="U2188"/>
  <c r="V2187"/>
  <c r="U2187"/>
  <c r="V2186"/>
  <c r="U2186"/>
  <c r="V2185"/>
  <c r="U2185"/>
  <c r="V2184"/>
  <c r="U2184"/>
  <c r="V2183"/>
  <c r="U2183"/>
  <c r="V2182"/>
  <c r="U2182"/>
  <c r="V2181"/>
  <c r="U2181"/>
  <c r="V2180"/>
  <c r="U2180"/>
  <c r="U2179"/>
  <c r="V2178"/>
  <c r="U2178"/>
  <c r="V2177"/>
  <c r="U2177"/>
  <c r="V2176"/>
  <c r="U2176"/>
  <c r="V2175"/>
  <c r="U2175"/>
  <c r="V2174"/>
  <c r="U2174"/>
  <c r="V2173"/>
  <c r="U2173"/>
  <c r="V2172"/>
  <c r="U2172"/>
  <c r="V2171"/>
  <c r="U2171"/>
  <c r="V2170"/>
  <c r="U2170"/>
  <c r="V2169"/>
  <c r="U2169"/>
  <c r="V2168"/>
  <c r="U2168"/>
  <c r="V2167"/>
  <c r="U2167"/>
  <c r="V2166"/>
  <c r="U2166"/>
  <c r="V2165"/>
  <c r="U2165"/>
  <c r="V2164"/>
  <c r="U2164"/>
  <c r="V2163"/>
  <c r="U2163"/>
  <c r="V2162"/>
  <c r="U2162"/>
  <c r="V2161"/>
  <c r="U2161"/>
  <c r="V2160"/>
  <c r="U2160"/>
  <c r="V2159"/>
  <c r="U2159"/>
  <c r="V2158"/>
  <c r="U2158"/>
  <c r="V2157"/>
  <c r="U2157"/>
  <c r="V2156"/>
  <c r="U2156"/>
  <c r="V2155"/>
  <c r="U2155"/>
  <c r="V2154"/>
  <c r="U2154"/>
  <c r="V2153"/>
  <c r="U2153"/>
  <c r="V2152"/>
  <c r="U2152"/>
  <c r="V2151"/>
  <c r="U2151"/>
  <c r="V2150"/>
  <c r="U2150"/>
  <c r="V2149"/>
  <c r="U2149"/>
  <c r="V2148"/>
  <c r="U2148"/>
  <c r="V2147"/>
  <c r="U2147"/>
  <c r="V2146"/>
  <c r="U2146"/>
  <c r="V2145"/>
  <c r="U2145"/>
  <c r="V2144"/>
  <c r="U2144"/>
  <c r="V2143"/>
  <c r="U2143"/>
  <c r="V2142"/>
  <c r="U2142"/>
  <c r="V2141"/>
  <c r="U2141"/>
  <c r="V2140"/>
  <c r="U2140"/>
  <c r="V2139"/>
  <c r="U2139"/>
  <c r="V2138"/>
  <c r="U2138"/>
  <c r="V2137"/>
  <c r="U2137"/>
  <c r="V2136"/>
  <c r="U2136"/>
  <c r="U2135"/>
  <c r="V2134"/>
  <c r="U2134"/>
  <c r="V2133"/>
  <c r="U2133"/>
  <c r="V2132"/>
  <c r="U2132"/>
  <c r="V2131"/>
  <c r="U2131"/>
  <c r="V2130"/>
  <c r="U2130"/>
  <c r="V2129"/>
  <c r="U2129"/>
  <c r="V2128"/>
  <c r="U2128"/>
  <c r="V2127"/>
  <c r="U2127"/>
  <c r="V2126"/>
  <c r="U2126"/>
  <c r="V2125"/>
  <c r="U2125"/>
  <c r="V2124"/>
  <c r="U2124"/>
  <c r="V2123"/>
  <c r="U2123"/>
  <c r="V2122"/>
  <c r="V2121"/>
  <c r="U2121"/>
  <c r="V2120"/>
  <c r="U2120"/>
  <c r="V2119"/>
  <c r="U2119"/>
  <c r="V2118"/>
  <c r="U2118"/>
  <c r="V2117"/>
  <c r="U2117"/>
  <c r="V2116"/>
  <c r="U2116"/>
  <c r="V2115"/>
  <c r="U2115"/>
  <c r="V2114"/>
  <c r="U2114"/>
  <c r="V2113"/>
  <c r="U2113"/>
  <c r="V2112"/>
  <c r="U2112"/>
  <c r="V2111"/>
  <c r="U2111"/>
  <c r="V2110"/>
  <c r="U2110"/>
  <c r="U2109"/>
  <c r="V2108"/>
  <c r="U2108"/>
  <c r="V2107"/>
  <c r="U2107"/>
  <c r="V2106"/>
  <c r="U2106"/>
  <c r="V2105"/>
  <c r="U2105"/>
  <c r="V2104"/>
  <c r="U2104"/>
  <c r="V2103"/>
  <c r="U2103"/>
  <c r="V2102"/>
  <c r="U2102"/>
  <c r="V2101"/>
  <c r="U2101"/>
  <c r="V2100"/>
  <c r="U2100"/>
  <c r="V2099"/>
  <c r="U2099"/>
  <c r="V2098"/>
  <c r="U2098"/>
  <c r="V2097"/>
  <c r="U2097"/>
  <c r="V2096"/>
  <c r="U2096"/>
  <c r="V2095"/>
  <c r="U2095"/>
  <c r="V2094"/>
  <c r="U2094"/>
  <c r="V2093"/>
  <c r="U2093"/>
  <c r="V2092"/>
  <c r="U2092"/>
  <c r="V2091"/>
  <c r="U2091"/>
  <c r="V2090"/>
  <c r="U2090"/>
  <c r="V2089"/>
  <c r="U2089"/>
  <c r="V2088"/>
  <c r="U2088"/>
  <c r="V2087"/>
  <c r="U2087"/>
  <c r="V2086"/>
  <c r="U2086"/>
  <c r="V2085"/>
  <c r="U2085"/>
  <c r="V2084"/>
  <c r="U2084"/>
  <c r="V2083"/>
  <c r="U2083"/>
  <c r="V2082"/>
  <c r="U2082"/>
  <c r="V2081"/>
  <c r="U2081"/>
  <c r="V2080"/>
  <c r="U2080"/>
  <c r="V2079"/>
  <c r="U2079"/>
  <c r="V2078"/>
  <c r="U2078"/>
  <c r="V2077"/>
  <c r="U2077"/>
  <c r="V2076"/>
  <c r="U2076"/>
  <c r="V2075"/>
  <c r="U2075"/>
  <c r="V2074"/>
  <c r="U2074"/>
  <c r="V2073"/>
  <c r="U2073"/>
  <c r="V2072"/>
  <c r="U2072"/>
  <c r="V2071"/>
  <c r="U2071"/>
  <c r="V2070"/>
  <c r="U2070"/>
  <c r="V2069"/>
  <c r="U2069"/>
  <c r="V2068"/>
  <c r="U2068"/>
  <c r="V2067"/>
  <c r="U2067"/>
  <c r="V2066"/>
  <c r="U2066"/>
  <c r="V2065"/>
  <c r="U2065"/>
  <c r="V2064"/>
  <c r="U2064"/>
  <c r="V2063"/>
  <c r="U2063"/>
  <c r="V2062"/>
  <c r="U2062"/>
  <c r="V2061"/>
  <c r="U2061"/>
  <c r="V2060"/>
  <c r="U2060"/>
  <c r="V2059"/>
  <c r="U2059"/>
  <c r="V2058"/>
  <c r="U2058"/>
  <c r="U2057"/>
  <c r="V2056"/>
  <c r="U2056"/>
  <c r="V2055"/>
  <c r="U2055"/>
  <c r="V2054"/>
  <c r="U2054"/>
  <c r="V2053"/>
  <c r="U2053"/>
  <c r="V2052"/>
  <c r="U2052"/>
  <c r="V2051"/>
  <c r="U2051"/>
  <c r="V2050"/>
  <c r="U2050"/>
  <c r="V2049"/>
  <c r="U2049"/>
  <c r="V2048"/>
  <c r="U2048"/>
  <c r="V2046"/>
  <c r="U2046"/>
  <c r="V2045"/>
  <c r="U2045"/>
  <c r="V2044"/>
  <c r="U2044"/>
  <c r="V2043"/>
  <c r="U2043"/>
  <c r="V2042"/>
  <c r="U2042"/>
  <c r="V2041"/>
  <c r="U2041"/>
  <c r="V2040"/>
  <c r="U2040"/>
  <c r="V2039"/>
  <c r="U2039"/>
  <c r="V2038"/>
  <c r="U2038"/>
  <c r="V2037"/>
  <c r="U2037"/>
  <c r="V2036"/>
  <c r="U2036"/>
  <c r="V2035"/>
  <c r="U2035"/>
  <c r="V2034"/>
  <c r="U2034"/>
  <c r="V2033"/>
  <c r="U2033"/>
  <c r="V2032"/>
  <c r="U2032"/>
  <c r="V2031"/>
  <c r="U2031"/>
  <c r="V2030"/>
  <c r="U2030"/>
  <c r="V2029"/>
  <c r="U2029"/>
  <c r="V2028"/>
  <c r="U2028"/>
  <c r="V2027"/>
  <c r="U2027"/>
  <c r="V2026"/>
  <c r="U2026"/>
  <c r="V2025"/>
  <c r="U2025"/>
  <c r="V2024"/>
  <c r="U2024"/>
  <c r="U2023"/>
  <c r="V2022"/>
  <c r="U2022"/>
  <c r="V2021"/>
  <c r="U2021"/>
  <c r="V2020"/>
  <c r="U2020"/>
  <c r="V2019"/>
  <c r="U2019"/>
  <c r="V2018"/>
  <c r="U2018"/>
  <c r="V2017"/>
  <c r="U2017"/>
  <c r="V2016"/>
  <c r="U2016"/>
  <c r="V2015"/>
  <c r="U2015"/>
  <c r="V2014"/>
  <c r="U2014"/>
  <c r="V2013"/>
  <c r="U2013"/>
  <c r="V2012"/>
  <c r="U2012"/>
  <c r="U2011"/>
  <c r="V2010"/>
  <c r="U2010"/>
  <c r="V2009"/>
  <c r="U2009"/>
  <c r="V2008"/>
  <c r="U2008"/>
  <c r="V2007"/>
  <c r="U2007"/>
  <c r="V2006"/>
  <c r="U2006"/>
  <c r="V2005"/>
  <c r="V2004"/>
  <c r="V2003"/>
  <c r="V2002"/>
  <c r="V2001"/>
  <c r="V2000"/>
  <c r="V1999"/>
  <c r="U1999"/>
  <c r="V1998"/>
  <c r="U1998"/>
  <c r="V1997"/>
  <c r="U1997"/>
  <c r="V1996"/>
  <c r="U1996"/>
  <c r="V1995"/>
  <c r="U1995"/>
  <c r="V1994"/>
  <c r="U1994"/>
  <c r="V1993"/>
  <c r="U1993"/>
  <c r="V1992"/>
  <c r="U1992"/>
  <c r="V1990"/>
  <c r="U1990"/>
  <c r="V1989"/>
  <c r="U1989"/>
  <c r="V1988"/>
  <c r="U1988"/>
  <c r="V1987"/>
  <c r="U1987"/>
  <c r="V1986"/>
  <c r="U1986"/>
  <c r="V1985"/>
  <c r="U1985"/>
  <c r="V1984"/>
  <c r="U1984"/>
  <c r="V1983"/>
  <c r="U1983"/>
  <c r="V1982"/>
  <c r="U1982"/>
  <c r="V1981"/>
  <c r="U1981"/>
  <c r="U1980"/>
  <c r="V1979"/>
  <c r="U1979"/>
  <c r="V1978"/>
  <c r="U1978"/>
  <c r="V1977"/>
  <c r="U1977"/>
  <c r="V1976"/>
  <c r="U1976"/>
  <c r="V1975"/>
  <c r="U1975"/>
  <c r="V1974"/>
  <c r="U1974"/>
  <c r="V1973"/>
  <c r="U1973"/>
  <c r="V1972"/>
  <c r="U1972"/>
  <c r="V1971"/>
  <c r="U1971"/>
  <c r="V1970"/>
  <c r="U1970"/>
  <c r="V1969"/>
  <c r="U1969"/>
  <c r="V1968"/>
  <c r="U1968"/>
  <c r="V1967"/>
  <c r="U1967"/>
  <c r="U1966"/>
  <c r="V1965"/>
  <c r="U1965"/>
  <c r="V1964"/>
  <c r="U1964"/>
  <c r="V1963"/>
  <c r="U1963"/>
  <c r="V1962"/>
  <c r="U1962"/>
  <c r="V1961"/>
  <c r="U1961"/>
  <c r="V1960"/>
  <c r="U1960"/>
  <c r="V1959"/>
  <c r="U1959"/>
  <c r="V1958"/>
  <c r="U1958"/>
  <c r="V1957"/>
  <c r="U1957"/>
  <c r="V1956"/>
  <c r="U1956"/>
  <c r="V1955"/>
  <c r="U1955"/>
  <c r="V1954"/>
  <c r="U1954"/>
  <c r="V1953"/>
  <c r="U1953"/>
  <c r="V1952"/>
  <c r="U1952"/>
  <c r="V1951"/>
  <c r="U1951"/>
  <c r="U1950"/>
  <c r="V1949"/>
  <c r="U1949"/>
  <c r="V1948"/>
  <c r="U1948"/>
  <c r="V1947"/>
  <c r="U1947"/>
  <c r="V1946"/>
  <c r="U1946"/>
  <c r="V1945"/>
  <c r="U1945"/>
  <c r="V1944"/>
  <c r="U1944"/>
  <c r="V1943"/>
  <c r="U1943"/>
  <c r="V1942"/>
  <c r="U1942"/>
  <c r="V1941"/>
  <c r="U1941"/>
  <c r="V1940"/>
  <c r="U1940"/>
  <c r="V1939"/>
  <c r="U1939"/>
  <c r="V1938"/>
  <c r="U1938"/>
  <c r="U1937"/>
  <c r="U1936"/>
  <c r="V1935"/>
  <c r="U1935"/>
  <c r="V1934"/>
  <c r="U1934"/>
  <c r="V1933"/>
  <c r="U1933"/>
  <c r="V1932"/>
  <c r="U1932"/>
  <c r="V1931"/>
  <c r="U1931"/>
  <c r="V1930"/>
  <c r="U1930"/>
  <c r="V1929"/>
  <c r="U1929"/>
  <c r="V1928"/>
  <c r="U1928"/>
  <c r="V1927"/>
  <c r="U1927"/>
  <c r="V1926"/>
  <c r="U1926"/>
  <c r="V1925"/>
  <c r="U1925"/>
  <c r="V1924"/>
  <c r="U1924"/>
  <c r="V1923"/>
  <c r="U1923"/>
  <c r="V1922"/>
  <c r="U1922"/>
  <c r="V1921"/>
  <c r="U1921"/>
  <c r="V1920"/>
  <c r="U1920"/>
  <c r="V1919"/>
  <c r="U1919"/>
  <c r="V1918"/>
  <c r="U1918"/>
  <c r="V1917"/>
  <c r="U1917"/>
  <c r="V1916"/>
  <c r="U1916"/>
  <c r="V1915"/>
  <c r="U1915"/>
  <c r="V1914"/>
  <c r="U1914"/>
  <c r="U1913"/>
  <c r="V1912"/>
  <c r="U1912"/>
  <c r="U1911"/>
  <c r="V1910"/>
  <c r="U1910"/>
  <c r="V1909"/>
  <c r="U1909"/>
  <c r="V1908"/>
  <c r="U1908"/>
  <c r="U1907"/>
  <c r="V1906"/>
  <c r="U1906"/>
  <c r="V1905"/>
  <c r="U1905"/>
  <c r="V1904"/>
  <c r="U1904"/>
  <c r="V1903"/>
  <c r="U1903"/>
  <c r="V1902"/>
  <c r="U1902"/>
  <c r="V1901"/>
  <c r="U1901"/>
  <c r="V1900"/>
  <c r="U1900"/>
  <c r="V1899"/>
  <c r="U1899"/>
  <c r="V1898"/>
  <c r="U1898"/>
  <c r="V1897"/>
  <c r="U1897"/>
  <c r="V1896"/>
  <c r="U1896"/>
  <c r="V1895"/>
  <c r="U1895"/>
  <c r="V1894"/>
  <c r="U1894"/>
  <c r="V1893"/>
  <c r="U1893"/>
  <c r="V1892"/>
  <c r="U1892"/>
  <c r="V1891"/>
  <c r="U1891"/>
  <c r="V1890"/>
  <c r="U1890"/>
  <c r="V1889"/>
  <c r="U1889"/>
  <c r="V1888"/>
  <c r="U1888"/>
  <c r="V1887"/>
  <c r="U1887"/>
  <c r="V1886"/>
  <c r="U1886"/>
  <c r="V1885"/>
  <c r="U1885"/>
  <c r="V1884"/>
  <c r="U1884"/>
  <c r="V1883"/>
  <c r="U1883"/>
  <c r="V1882"/>
  <c r="U1882"/>
  <c r="V1881"/>
  <c r="U1881"/>
  <c r="V1880"/>
  <c r="U1880"/>
  <c r="V1879"/>
  <c r="U1879"/>
  <c r="V1878"/>
  <c r="U1878"/>
  <c r="V1877"/>
  <c r="U1877"/>
  <c r="V1876"/>
  <c r="U1876"/>
  <c r="V1875"/>
  <c r="U1875"/>
  <c r="V1874"/>
  <c r="U1874"/>
  <c r="V1873"/>
  <c r="U1873"/>
  <c r="V1872"/>
  <c r="U1872"/>
  <c r="V1871"/>
  <c r="U1871"/>
  <c r="V1870"/>
  <c r="U1870"/>
  <c r="V1869"/>
  <c r="U1869"/>
  <c r="V1868"/>
  <c r="U1868"/>
  <c r="V1867"/>
  <c r="U1867"/>
  <c r="V1866"/>
  <c r="U1866"/>
  <c r="V1865"/>
  <c r="U1865"/>
  <c r="V1864"/>
  <c r="U1864"/>
  <c r="V1863"/>
  <c r="U1863"/>
  <c r="V1862"/>
  <c r="U1862"/>
  <c r="V1861"/>
  <c r="U1861"/>
  <c r="V1860"/>
  <c r="U1860"/>
  <c r="V1859"/>
  <c r="U1859"/>
  <c r="V1858"/>
  <c r="U1858"/>
  <c r="V1857"/>
  <c r="U1857"/>
  <c r="V1856"/>
  <c r="U1856"/>
  <c r="V1855"/>
  <c r="U1855"/>
  <c r="V1854"/>
  <c r="U1854"/>
  <c r="V1853"/>
  <c r="U1853"/>
  <c r="V1852"/>
  <c r="U1852"/>
  <c r="V1851"/>
  <c r="U1851"/>
  <c r="V1850"/>
  <c r="U1850"/>
  <c r="V1849"/>
  <c r="U1849"/>
  <c r="V1848"/>
  <c r="U1848"/>
  <c r="V1847"/>
  <c r="U1847"/>
  <c r="V1846"/>
  <c r="U1846"/>
  <c r="V1845"/>
  <c r="U1845"/>
  <c r="V1844"/>
  <c r="U1844"/>
  <c r="V1843"/>
  <c r="U1843"/>
  <c r="V1842"/>
  <c r="U1842"/>
  <c r="V1841"/>
  <c r="U1841"/>
  <c r="V1840"/>
  <c r="U1840"/>
  <c r="V1839"/>
  <c r="U1839"/>
  <c r="V1838"/>
  <c r="U1838"/>
  <c r="V1837"/>
  <c r="U1837"/>
  <c r="V1836"/>
  <c r="U1836"/>
  <c r="V1835"/>
  <c r="U1835"/>
  <c r="V1834"/>
  <c r="U1834"/>
  <c r="V1833"/>
  <c r="U1833"/>
  <c r="V1832"/>
  <c r="U1832"/>
  <c r="V1831"/>
  <c r="U1831"/>
  <c r="V1830"/>
  <c r="U1830"/>
  <c r="V1829"/>
  <c r="U1829"/>
  <c r="V1828"/>
  <c r="U1828"/>
  <c r="V1827"/>
  <c r="U1827"/>
  <c r="U1826"/>
  <c r="U1825"/>
  <c r="V1824"/>
  <c r="U1824"/>
  <c r="V1823"/>
  <c r="U1823"/>
  <c r="V1822"/>
  <c r="U1822"/>
  <c r="V1821"/>
  <c r="U1821"/>
  <c r="V1820"/>
  <c r="U1820"/>
  <c r="V1819"/>
  <c r="U1819"/>
  <c r="V1818"/>
  <c r="U1818"/>
  <c r="V1817"/>
  <c r="U1817"/>
  <c r="V1816"/>
  <c r="U1816"/>
  <c r="V1815"/>
  <c r="U1815"/>
  <c r="V1814"/>
  <c r="U1814"/>
  <c r="V1813"/>
  <c r="U1813"/>
  <c r="V1812"/>
  <c r="U1812"/>
  <c r="V1811"/>
  <c r="U1811"/>
  <c r="V1810"/>
  <c r="U1810"/>
  <c r="V1809"/>
  <c r="U1809"/>
  <c r="V1808"/>
  <c r="U1808"/>
  <c r="V1807"/>
  <c r="U1807"/>
  <c r="V1806"/>
  <c r="U1806"/>
  <c r="V1805"/>
  <c r="U1805"/>
  <c r="U1804"/>
  <c r="U1803"/>
  <c r="V1802"/>
  <c r="U1802"/>
  <c r="V1801"/>
  <c r="U1801"/>
  <c r="V1800"/>
  <c r="U1800"/>
  <c r="V1799"/>
  <c r="U1799"/>
  <c r="V1798"/>
  <c r="U1798"/>
  <c r="V1797"/>
  <c r="U1797"/>
  <c r="V1796"/>
  <c r="U1796"/>
  <c r="V1795"/>
  <c r="U1795"/>
  <c r="V1794"/>
  <c r="U1794"/>
  <c r="V1793"/>
  <c r="U1793"/>
  <c r="V1792"/>
  <c r="U1792"/>
  <c r="V1791"/>
  <c r="U1791"/>
  <c r="V1790"/>
  <c r="U1790"/>
  <c r="V1789"/>
  <c r="U1789"/>
  <c r="V1788"/>
  <c r="U1788"/>
  <c r="V1787"/>
  <c r="U1787"/>
  <c r="V1786"/>
  <c r="U1786"/>
  <c r="V1785"/>
  <c r="U1785"/>
  <c r="V1784"/>
  <c r="U1784"/>
  <c r="V1783"/>
  <c r="U1783"/>
  <c r="U1782"/>
  <c r="V1781"/>
  <c r="U1781"/>
  <c r="V1780"/>
  <c r="U1780"/>
  <c r="V1779"/>
  <c r="U1779"/>
  <c r="V1778"/>
  <c r="U1778"/>
  <c r="V1777"/>
  <c r="U1777"/>
  <c r="V1776"/>
  <c r="U1776"/>
  <c r="V1775"/>
  <c r="U1775"/>
  <c r="V1774"/>
  <c r="U1774"/>
  <c r="U1773"/>
  <c r="V1772"/>
  <c r="U1772"/>
  <c r="V1771"/>
  <c r="U1771"/>
  <c r="V1770"/>
  <c r="U1770"/>
  <c r="V1769"/>
  <c r="U1769"/>
  <c r="V1768"/>
  <c r="U1768"/>
  <c r="V1767"/>
  <c r="U1767"/>
  <c r="V1766"/>
  <c r="U1766"/>
  <c r="V1765"/>
  <c r="U1765"/>
  <c r="V1764"/>
  <c r="U1764"/>
  <c r="V1763"/>
  <c r="U1763"/>
  <c r="V1762"/>
  <c r="U1762"/>
  <c r="V1761"/>
  <c r="U1761"/>
  <c r="V1760"/>
  <c r="U1760"/>
  <c r="V1759"/>
  <c r="U1759"/>
  <c r="V1758"/>
  <c r="U1758"/>
  <c r="V1757"/>
  <c r="U1757"/>
  <c r="V1756"/>
  <c r="U1756"/>
  <c r="V1755"/>
  <c r="U1755"/>
  <c r="V1754"/>
  <c r="U1754"/>
  <c r="V1753"/>
  <c r="U1753"/>
  <c r="V1752"/>
  <c r="U1752"/>
  <c r="V1751"/>
  <c r="U1751"/>
  <c r="V1750"/>
  <c r="U1750"/>
  <c r="V1749"/>
  <c r="U1749"/>
  <c r="V1748"/>
  <c r="U1748"/>
  <c r="V1746"/>
  <c r="U1746"/>
  <c r="V1745"/>
  <c r="U1745"/>
  <c r="V1744"/>
  <c r="U1744"/>
  <c r="V1743"/>
  <c r="U1743"/>
  <c r="V1742"/>
  <c r="U1742"/>
  <c r="V1741"/>
  <c r="U1741"/>
  <c r="V1740"/>
  <c r="U1740"/>
  <c r="V1739"/>
  <c r="U1739"/>
  <c r="V1738"/>
  <c r="U1738"/>
  <c r="V1737"/>
  <c r="U1737"/>
  <c r="V1736"/>
  <c r="U1736"/>
  <c r="V1735"/>
  <c r="U1735"/>
  <c r="V1734"/>
  <c r="U1734"/>
  <c r="V1733"/>
  <c r="U1733"/>
  <c r="V1732"/>
  <c r="U1732"/>
  <c r="V1731"/>
  <c r="U1731"/>
  <c r="V1730"/>
  <c r="U1730"/>
  <c r="V1729"/>
  <c r="U1729"/>
  <c r="V1728"/>
  <c r="U1728"/>
  <c r="V1727"/>
  <c r="U1727"/>
  <c r="V1726"/>
  <c r="U1726"/>
  <c r="U1725"/>
  <c r="V1724"/>
  <c r="U1724"/>
  <c r="V1723"/>
  <c r="U1723"/>
  <c r="V1722"/>
  <c r="U1722"/>
  <c r="V1721"/>
  <c r="U1721"/>
  <c r="V1720"/>
  <c r="U1720"/>
  <c r="V1719"/>
  <c r="U1719"/>
  <c r="V1718"/>
  <c r="U1718"/>
  <c r="V1717"/>
  <c r="U1717"/>
  <c r="V1716"/>
  <c r="U1716"/>
  <c r="V1715"/>
  <c r="U1715"/>
  <c r="V1714"/>
  <c r="U1714"/>
  <c r="V1713"/>
  <c r="U1713"/>
  <c r="V1712"/>
  <c r="U1712"/>
  <c r="V1711"/>
  <c r="U1711"/>
  <c r="V1710"/>
  <c r="U1710"/>
  <c r="V1709"/>
  <c r="U1709"/>
  <c r="V1708"/>
  <c r="U1708"/>
  <c r="V1707"/>
  <c r="U1707"/>
  <c r="V1706"/>
  <c r="U1706"/>
  <c r="V1705"/>
  <c r="U1705"/>
  <c r="V1704"/>
  <c r="U1704"/>
  <c r="V1703"/>
  <c r="U1703"/>
  <c r="V1702"/>
  <c r="U1702"/>
  <c r="V1701"/>
  <c r="U1701"/>
  <c r="V1700"/>
  <c r="U1700"/>
  <c r="V1699"/>
  <c r="U1699"/>
  <c r="V1698"/>
  <c r="U1698"/>
  <c r="V1697"/>
  <c r="U1697"/>
  <c r="V1696"/>
  <c r="U1696"/>
  <c r="V1695"/>
  <c r="U1695"/>
  <c r="V1694"/>
  <c r="U1694"/>
  <c r="V1693"/>
  <c r="U1693"/>
  <c r="V1692"/>
  <c r="U1692"/>
  <c r="V1691"/>
  <c r="U1691"/>
  <c r="V1690"/>
  <c r="U1690"/>
  <c r="V1689"/>
  <c r="U1689"/>
  <c r="V1688"/>
  <c r="U1688"/>
  <c r="U1687"/>
  <c r="V1686"/>
  <c r="U1686"/>
  <c r="V1685"/>
  <c r="U1685"/>
  <c r="V1684"/>
  <c r="U1684"/>
  <c r="V1683"/>
  <c r="U1683"/>
  <c r="V1682"/>
  <c r="U1682"/>
  <c r="V1681"/>
  <c r="U1681"/>
  <c r="V1680"/>
  <c r="U1680"/>
  <c r="V1679"/>
  <c r="U1679"/>
  <c r="V1678"/>
  <c r="U1678"/>
  <c r="V1677"/>
  <c r="U1677"/>
  <c r="V1676"/>
  <c r="U1676"/>
  <c r="V1675"/>
  <c r="U1675"/>
  <c r="V1674"/>
  <c r="U1674"/>
  <c r="V1673"/>
  <c r="U1673"/>
  <c r="V1672"/>
  <c r="U1672"/>
  <c r="V1671"/>
  <c r="U1671"/>
  <c r="V1670"/>
  <c r="U1670"/>
  <c r="V1669"/>
  <c r="U1669"/>
  <c r="U1668"/>
  <c r="V1667"/>
  <c r="U1667"/>
  <c r="V1666"/>
  <c r="U1666"/>
  <c r="U1665"/>
  <c r="V1664"/>
  <c r="U1664"/>
  <c r="V1663"/>
  <c r="U1663"/>
  <c r="V1662"/>
  <c r="U1662"/>
  <c r="V1661"/>
  <c r="U1661"/>
  <c r="V1660"/>
  <c r="U1660"/>
  <c r="V1659"/>
  <c r="U1659"/>
  <c r="V1658"/>
  <c r="U1658"/>
  <c r="V1657"/>
  <c r="U1657"/>
  <c r="V1656"/>
  <c r="U1656"/>
  <c r="V1655"/>
  <c r="U1655"/>
  <c r="V1654"/>
  <c r="U1654"/>
  <c r="V1653"/>
  <c r="U1653"/>
  <c r="V1652"/>
  <c r="U1652"/>
  <c r="U1651"/>
  <c r="V1650"/>
  <c r="U1650"/>
  <c r="V1649"/>
  <c r="U1649"/>
  <c r="V1648"/>
  <c r="U1648"/>
  <c r="V1647"/>
  <c r="U1647"/>
  <c r="V1646"/>
  <c r="U1646"/>
  <c r="V1645"/>
  <c r="U1645"/>
  <c r="V1644"/>
  <c r="U1644"/>
  <c r="V1643"/>
  <c r="U1643"/>
  <c r="V1642"/>
  <c r="U1642"/>
  <c r="V1641"/>
  <c r="U1641"/>
  <c r="V1640"/>
  <c r="U1640"/>
  <c r="V1639"/>
  <c r="U1639"/>
  <c r="V1638"/>
  <c r="U1638"/>
  <c r="V1637"/>
  <c r="U1637"/>
  <c r="V1636"/>
  <c r="U1636"/>
  <c r="V1635"/>
  <c r="U1635"/>
  <c r="V1634"/>
  <c r="U1634"/>
  <c r="V1633"/>
  <c r="U1633"/>
  <c r="V1632"/>
  <c r="U1632"/>
  <c r="V1631"/>
  <c r="U1631"/>
  <c r="V1630"/>
  <c r="U1630"/>
  <c r="V1629"/>
  <c r="U1629"/>
  <c r="V1628"/>
  <c r="U1628"/>
  <c r="V1627"/>
  <c r="U1627"/>
  <c r="V1626"/>
  <c r="U1626"/>
  <c r="V1625"/>
  <c r="U1625"/>
  <c r="V1624"/>
  <c r="U1624"/>
  <c r="V1623"/>
  <c r="U1623"/>
  <c r="V1622"/>
  <c r="U1622"/>
  <c r="V1621"/>
  <c r="U1621"/>
  <c r="V1620"/>
  <c r="U1620"/>
  <c r="V1619"/>
  <c r="U1619"/>
  <c r="V1618"/>
  <c r="U1618"/>
  <c r="U1617"/>
  <c r="V1616"/>
  <c r="U1616"/>
  <c r="V1615"/>
  <c r="U1615"/>
  <c r="V1614"/>
  <c r="U1614"/>
  <c r="V1613"/>
  <c r="U1613"/>
  <c r="V1612"/>
  <c r="U1612"/>
  <c r="V1611"/>
  <c r="U1611"/>
  <c r="V1610"/>
  <c r="U1610"/>
  <c r="V1609"/>
  <c r="U1609"/>
  <c r="V1608"/>
  <c r="U1608"/>
  <c r="V1607"/>
  <c r="U1607"/>
  <c r="V1606"/>
  <c r="U1606"/>
  <c r="V1605"/>
  <c r="U1605"/>
  <c r="V1604"/>
  <c r="U1604"/>
  <c r="V1603"/>
  <c r="U1603"/>
  <c r="V1602"/>
  <c r="U1602"/>
  <c r="V1601"/>
  <c r="U1601"/>
  <c r="V1600"/>
  <c r="U1600"/>
  <c r="V1599"/>
  <c r="U1599"/>
  <c r="V1598"/>
  <c r="U1598"/>
  <c r="V1597"/>
  <c r="U1597"/>
  <c r="V1596"/>
  <c r="U1596"/>
  <c r="V1595"/>
  <c r="U1595"/>
  <c r="V1594"/>
  <c r="U1594"/>
  <c r="V1593"/>
  <c r="U1593"/>
  <c r="V1592"/>
  <c r="U1592"/>
  <c r="V1591"/>
  <c r="U1591"/>
  <c r="V1590"/>
  <c r="U1590"/>
  <c r="V1589"/>
  <c r="U1589"/>
  <c r="V1588"/>
  <c r="U1588"/>
  <c r="V1587"/>
  <c r="U1587"/>
  <c r="V1586"/>
  <c r="U1586"/>
  <c r="V1585"/>
  <c r="U1585"/>
  <c r="V1584"/>
  <c r="U1584"/>
  <c r="V1583"/>
  <c r="U1583"/>
  <c r="V1582"/>
  <c r="U1582"/>
  <c r="V1581"/>
  <c r="U1581"/>
  <c r="V1580"/>
  <c r="U1580"/>
  <c r="V1579"/>
  <c r="U1579"/>
  <c r="V1578"/>
  <c r="U1578"/>
  <c r="V1577"/>
  <c r="U1577"/>
  <c r="V1576"/>
  <c r="U1576"/>
  <c r="V1575"/>
  <c r="U1575"/>
  <c r="V1574"/>
  <c r="U1574"/>
  <c r="V1573"/>
  <c r="U1573"/>
  <c r="V1572"/>
  <c r="U1572"/>
  <c r="V1571"/>
  <c r="U1571"/>
  <c r="V1570"/>
  <c r="U1570"/>
  <c r="V1569"/>
  <c r="U1569"/>
  <c r="V1568"/>
  <c r="U1568"/>
  <c r="V1567"/>
  <c r="U1567"/>
  <c r="V1566"/>
  <c r="U1566"/>
  <c r="V1565"/>
  <c r="U1565"/>
  <c r="V1564"/>
  <c r="U1564"/>
  <c r="V1563"/>
  <c r="U1563"/>
  <c r="V1562"/>
  <c r="U1562"/>
  <c r="V1561"/>
  <c r="U1561"/>
  <c r="V1560"/>
  <c r="U1560"/>
  <c r="V1559"/>
  <c r="U1559"/>
  <c r="V1558"/>
  <c r="U1558"/>
  <c r="V1557"/>
  <c r="U1557"/>
  <c r="V1556"/>
  <c r="U1556"/>
  <c r="V1555"/>
  <c r="U1555"/>
  <c r="V1554"/>
  <c r="V1553"/>
  <c r="U1553"/>
  <c r="V1552"/>
  <c r="U1552"/>
  <c r="V1551"/>
  <c r="U1551"/>
  <c r="V1550"/>
  <c r="U1550"/>
  <c r="V1549"/>
  <c r="U1549"/>
  <c r="V1548"/>
  <c r="U1548"/>
  <c r="V1547"/>
  <c r="U1547"/>
  <c r="V1546"/>
  <c r="U1546"/>
  <c r="V1545"/>
  <c r="U1545"/>
  <c r="V1544"/>
  <c r="U1544"/>
  <c r="V1543"/>
  <c r="U1543"/>
  <c r="V1542"/>
  <c r="V1541"/>
  <c r="U1541"/>
  <c r="V1540"/>
  <c r="U1540"/>
  <c r="V1539"/>
  <c r="U1539"/>
  <c r="V1538"/>
  <c r="U1538"/>
  <c r="V1537"/>
  <c r="U1537"/>
  <c r="V1536"/>
  <c r="U1536"/>
  <c r="V1535"/>
  <c r="U1535"/>
  <c r="V1534"/>
  <c r="U1534"/>
  <c r="V1533"/>
  <c r="U1533"/>
  <c r="V1532"/>
  <c r="U1532"/>
  <c r="V1531"/>
  <c r="U1531"/>
  <c r="V1530"/>
  <c r="U1530"/>
  <c r="V1529"/>
  <c r="U1529"/>
  <c r="V1528"/>
  <c r="U1528"/>
  <c r="V1527"/>
  <c r="U1527"/>
  <c r="V1526"/>
  <c r="U1526"/>
  <c r="V1525"/>
  <c r="U1525"/>
  <c r="V1524"/>
  <c r="U1524"/>
  <c r="V1523"/>
  <c r="U1523"/>
  <c r="V1522"/>
  <c r="U1522"/>
  <c r="V1521"/>
  <c r="U1521"/>
  <c r="V1520"/>
  <c r="U1520"/>
  <c r="V1519"/>
  <c r="U1519"/>
  <c r="V1518"/>
  <c r="U1518"/>
  <c r="V1517"/>
  <c r="U1517"/>
  <c r="V1516"/>
  <c r="U1516"/>
  <c r="V1515"/>
  <c r="U1515"/>
  <c r="V1514"/>
  <c r="U1514"/>
  <c r="V1513"/>
  <c r="U1513"/>
  <c r="V1512"/>
  <c r="U1512"/>
  <c r="V1511"/>
  <c r="U1511"/>
  <c r="V1510"/>
  <c r="U1510"/>
  <c r="V1509"/>
  <c r="U1509"/>
  <c r="V1508"/>
  <c r="U1508"/>
  <c r="V1507"/>
  <c r="U1507"/>
  <c r="V1506"/>
  <c r="U1506"/>
  <c r="V1505"/>
  <c r="U1505"/>
  <c r="V1504"/>
  <c r="U1504"/>
  <c r="U1503"/>
  <c r="V1502"/>
  <c r="U1502"/>
  <c r="V1501"/>
  <c r="U1501"/>
  <c r="V1500"/>
  <c r="U1500"/>
  <c r="U1499"/>
  <c r="V1498"/>
  <c r="U1498"/>
  <c r="V1497"/>
  <c r="U1497"/>
  <c r="V1496"/>
  <c r="U1496"/>
  <c r="U1495"/>
  <c r="V1494"/>
  <c r="U1494"/>
  <c r="V1493"/>
  <c r="U1493"/>
  <c r="V1492"/>
  <c r="U1492"/>
  <c r="V1491"/>
  <c r="U1491"/>
  <c r="V1490"/>
  <c r="U1490"/>
  <c r="V1489"/>
  <c r="U1489"/>
  <c r="V1488"/>
  <c r="U1488"/>
  <c r="V1487"/>
  <c r="U1487"/>
  <c r="V1486"/>
  <c r="U1486"/>
  <c r="V1484"/>
  <c r="U1484"/>
  <c r="V1483"/>
  <c r="U1483"/>
  <c r="V1482"/>
  <c r="U1482"/>
  <c r="V1481"/>
  <c r="U1481"/>
  <c r="V1480"/>
  <c r="U1480"/>
  <c r="V1479"/>
  <c r="U1479"/>
  <c r="V1478"/>
  <c r="U1478"/>
  <c r="V1477"/>
  <c r="U1477"/>
  <c r="V1476"/>
  <c r="U1476"/>
  <c r="V1475"/>
  <c r="U1475"/>
  <c r="V1474"/>
  <c r="U1474"/>
  <c r="V1473"/>
  <c r="U1473"/>
  <c r="V1472"/>
  <c r="U1472"/>
  <c r="V1471"/>
  <c r="U1471"/>
  <c r="V1470"/>
  <c r="U1470"/>
  <c r="V1469"/>
  <c r="U1469"/>
  <c r="V1468"/>
  <c r="U1468"/>
  <c r="V1467"/>
  <c r="U1467"/>
  <c r="V1466"/>
  <c r="U1466"/>
  <c r="V1465"/>
  <c r="U1465"/>
  <c r="V1464"/>
  <c r="U1464"/>
  <c r="V1463"/>
  <c r="U1463"/>
  <c r="V1462"/>
  <c r="U1462"/>
  <c r="V1461"/>
  <c r="U1461"/>
  <c r="V1460"/>
  <c r="U1460"/>
  <c r="V1459"/>
  <c r="U1459"/>
  <c r="V1458"/>
  <c r="U1458"/>
  <c r="V1457"/>
  <c r="U1457"/>
  <c r="V1456"/>
  <c r="U1456"/>
  <c r="V1455"/>
  <c r="U1455"/>
  <c r="V1454"/>
  <c r="U1454"/>
  <c r="V1453"/>
  <c r="U1453"/>
  <c r="V1452"/>
  <c r="U1452"/>
  <c r="V1451"/>
  <c r="U1451"/>
  <c r="V1450"/>
  <c r="U1450"/>
  <c r="V1449"/>
  <c r="U1449"/>
  <c r="V1448"/>
  <c r="U1448"/>
  <c r="V1447"/>
  <c r="U1447"/>
  <c r="V1446"/>
  <c r="U1446"/>
  <c r="V1445"/>
  <c r="U1445"/>
  <c r="V1444"/>
  <c r="U1444"/>
  <c r="V1443"/>
  <c r="U1443"/>
  <c r="V1442"/>
  <c r="U1442"/>
  <c r="V1441"/>
  <c r="U1441"/>
  <c r="V1440"/>
  <c r="U1440"/>
  <c r="U1439"/>
  <c r="V1438"/>
  <c r="U1438"/>
  <c r="V1437"/>
  <c r="U1437"/>
  <c r="V1436"/>
  <c r="U1436"/>
  <c r="U1435"/>
  <c r="V1434"/>
  <c r="U1434"/>
  <c r="V1433"/>
  <c r="U1433"/>
  <c r="V1432"/>
  <c r="U1432"/>
  <c r="V1431"/>
  <c r="U1431"/>
  <c r="U1430"/>
  <c r="V1429"/>
  <c r="U1429"/>
  <c r="V1428"/>
  <c r="U1428"/>
  <c r="V1427"/>
  <c r="U1427"/>
  <c r="V1426"/>
  <c r="U1426"/>
  <c r="V1425"/>
  <c r="U1425"/>
  <c r="V1423"/>
  <c r="U1423"/>
  <c r="V1422"/>
  <c r="U1422"/>
  <c r="V1421"/>
  <c r="U1421"/>
  <c r="V1420"/>
  <c r="U1420"/>
  <c r="V1419"/>
  <c r="U1419"/>
  <c r="V1418"/>
  <c r="U1418"/>
  <c r="V1417"/>
  <c r="U1417"/>
  <c r="V1416"/>
  <c r="U1416"/>
  <c r="V1415"/>
  <c r="U1415"/>
  <c r="V1414"/>
  <c r="U1414"/>
  <c r="V1413"/>
  <c r="U1413"/>
  <c r="V1412"/>
  <c r="U1412"/>
  <c r="U1411"/>
  <c r="V1410"/>
  <c r="U1410"/>
  <c r="V1409"/>
  <c r="U1409"/>
  <c r="V1408"/>
  <c r="U1408"/>
  <c r="V1407"/>
  <c r="U1407"/>
  <c r="V1406"/>
  <c r="U1406"/>
  <c r="V1405"/>
  <c r="U1405"/>
  <c r="V1404"/>
  <c r="U1404"/>
  <c r="V1403"/>
  <c r="U1403"/>
  <c r="U1402"/>
  <c r="V1401"/>
  <c r="U1401"/>
  <c r="V1400"/>
  <c r="U1400"/>
  <c r="V1399"/>
  <c r="U1399"/>
  <c r="V1398"/>
  <c r="U1398"/>
  <c r="V1397"/>
  <c r="U1397"/>
  <c r="V1396"/>
  <c r="U1396"/>
  <c r="V1395"/>
  <c r="U1395"/>
  <c r="V1394"/>
  <c r="U1394"/>
  <c r="V1393"/>
  <c r="U1393"/>
  <c r="V1392"/>
  <c r="U1392"/>
  <c r="V1391"/>
  <c r="U1391"/>
  <c r="U1390"/>
  <c r="V1389"/>
  <c r="U1389"/>
  <c r="V1388"/>
  <c r="U1388"/>
  <c r="V1387"/>
  <c r="U1387"/>
  <c r="V1386"/>
  <c r="U1386"/>
  <c r="V1385"/>
  <c r="U1385"/>
  <c r="V1384"/>
  <c r="U1384"/>
  <c r="V1383"/>
  <c r="U1383"/>
  <c r="V1382"/>
  <c r="U1382"/>
  <c r="V1381"/>
  <c r="U1381"/>
  <c r="V1380"/>
  <c r="U1380"/>
  <c r="V1379"/>
  <c r="U1379"/>
  <c r="V1378"/>
  <c r="U1378"/>
  <c r="V1377"/>
  <c r="U1377"/>
  <c r="V1376"/>
  <c r="U1376"/>
  <c r="V1375"/>
  <c r="U1375"/>
  <c r="V1374"/>
  <c r="U1374"/>
  <c r="V1373"/>
  <c r="U1373"/>
  <c r="V1372"/>
  <c r="U1372"/>
  <c r="V1371"/>
  <c r="U1371"/>
  <c r="V1370"/>
  <c r="U1370"/>
  <c r="V1369"/>
  <c r="U1369"/>
  <c r="V1368"/>
  <c r="U1368"/>
  <c r="V1367"/>
  <c r="U1367"/>
  <c r="V1366"/>
  <c r="U1366"/>
  <c r="V1365"/>
  <c r="U1365"/>
  <c r="V1364"/>
  <c r="U1364"/>
  <c r="V1363"/>
  <c r="U1363"/>
  <c r="V1362"/>
  <c r="U1362"/>
  <c r="V1361"/>
  <c r="U1361"/>
  <c r="V1360"/>
  <c r="U1360"/>
  <c r="V1359"/>
  <c r="U1359"/>
  <c r="V1358"/>
  <c r="U1358"/>
  <c r="V1357"/>
  <c r="U1357"/>
  <c r="V1356"/>
  <c r="U1356"/>
  <c r="V1355"/>
  <c r="U1355"/>
  <c r="V1354"/>
  <c r="U1354"/>
  <c r="V1353"/>
  <c r="U1353"/>
  <c r="V1352"/>
  <c r="U1352"/>
  <c r="V1351"/>
  <c r="U1351"/>
  <c r="V1350"/>
  <c r="U1350"/>
  <c r="V1349"/>
  <c r="U1349"/>
  <c r="V1348"/>
  <c r="U1348"/>
  <c r="V1347"/>
  <c r="U1347"/>
  <c r="V1346"/>
  <c r="U1346"/>
  <c r="V1345"/>
  <c r="U1345"/>
  <c r="V1344"/>
  <c r="U1344"/>
  <c r="V1343"/>
  <c r="U1343"/>
  <c r="V1342"/>
  <c r="U1342"/>
  <c r="V1341"/>
  <c r="U1341"/>
  <c r="V1340"/>
  <c r="U1340"/>
  <c r="V1339"/>
  <c r="U1339"/>
  <c r="V1338"/>
  <c r="U1338"/>
  <c r="V1337"/>
  <c r="U1337"/>
  <c r="V1336"/>
  <c r="U1336"/>
  <c r="V1335"/>
  <c r="U1335"/>
  <c r="V1334"/>
  <c r="U1334"/>
  <c r="V1333"/>
  <c r="U1333"/>
  <c r="V1332"/>
  <c r="U1332"/>
  <c r="V1331"/>
  <c r="U1331"/>
  <c r="V1330"/>
  <c r="U1330"/>
  <c r="V1329"/>
  <c r="U1329"/>
  <c r="V1328"/>
  <c r="U1328"/>
  <c r="U1324"/>
  <c r="V1323"/>
  <c r="U1323"/>
  <c r="V1322"/>
  <c r="U1322"/>
  <c r="V1321"/>
  <c r="U1321"/>
  <c r="U1320"/>
  <c r="U1319"/>
  <c r="V1318"/>
  <c r="U1318"/>
  <c r="V1317"/>
  <c r="U1317"/>
  <c r="V1316"/>
  <c r="U1316"/>
  <c r="V1315"/>
  <c r="U1315"/>
  <c r="V1314"/>
  <c r="U1314"/>
  <c r="V1313"/>
  <c r="U1313"/>
  <c r="V1312"/>
  <c r="U1312"/>
  <c r="V1311"/>
  <c r="U1311"/>
  <c r="V1310"/>
  <c r="U1310"/>
  <c r="V1309"/>
  <c r="U1309"/>
  <c r="V1308"/>
  <c r="U1308"/>
  <c r="U1307"/>
  <c r="V1306"/>
  <c r="U1306"/>
  <c r="V1305"/>
  <c r="U1305"/>
  <c r="V1304"/>
  <c r="U1304"/>
  <c r="V1303"/>
  <c r="U1303"/>
  <c r="V1302"/>
  <c r="U1302"/>
  <c r="V1301"/>
  <c r="U1301"/>
  <c r="V1300"/>
  <c r="U1300"/>
  <c r="V1299"/>
  <c r="U1299"/>
  <c r="V1298"/>
  <c r="U1298"/>
  <c r="V1297"/>
  <c r="U1297"/>
  <c r="V1296"/>
  <c r="U1296"/>
  <c r="V1295"/>
  <c r="U1295"/>
  <c r="V1294"/>
  <c r="U1294"/>
  <c r="V1293"/>
  <c r="U1293"/>
  <c r="V1292"/>
  <c r="U1292"/>
  <c r="V1291"/>
  <c r="U1291"/>
  <c r="V1290"/>
  <c r="U1290"/>
  <c r="V1289"/>
  <c r="U1289"/>
  <c r="V1288"/>
  <c r="U1288"/>
  <c r="V1287"/>
  <c r="U1287"/>
  <c r="V1286"/>
  <c r="U1286"/>
  <c r="V1285"/>
  <c r="U1285"/>
  <c r="V1284"/>
  <c r="U1284"/>
  <c r="V1283"/>
  <c r="U1283"/>
  <c r="V1282"/>
  <c r="U1282"/>
  <c r="V1281"/>
  <c r="U1281"/>
  <c r="V1280"/>
  <c r="U1280"/>
  <c r="V1279"/>
  <c r="U1279"/>
  <c r="V1278"/>
  <c r="U1278"/>
  <c r="V1277"/>
  <c r="U1277"/>
  <c r="V1276"/>
  <c r="U1276"/>
  <c r="V1275"/>
  <c r="U1275"/>
  <c r="V1274"/>
  <c r="U1274"/>
  <c r="V1273"/>
  <c r="U1273"/>
  <c r="V1272"/>
  <c r="U1272"/>
  <c r="V1271"/>
  <c r="U1271"/>
  <c r="V1270"/>
  <c r="U1270"/>
  <c r="V1269"/>
  <c r="U1269"/>
  <c r="V1268"/>
  <c r="U1268"/>
  <c r="V1267"/>
  <c r="U1267"/>
  <c r="V1266"/>
  <c r="U1266"/>
  <c r="V1265"/>
  <c r="U1265"/>
  <c r="V1264"/>
  <c r="U1264"/>
  <c r="V1263"/>
  <c r="U1263"/>
  <c r="V1262"/>
  <c r="U1262"/>
  <c r="V1261"/>
  <c r="U1261"/>
  <c r="V1260"/>
  <c r="U1260"/>
  <c r="U1259"/>
  <c r="V1258"/>
  <c r="U1258"/>
  <c r="V1257"/>
  <c r="U1257"/>
  <c r="V1256"/>
  <c r="U1256"/>
  <c r="V1255"/>
  <c r="U1255"/>
  <c r="V1254"/>
  <c r="U1254"/>
  <c r="V1253"/>
  <c r="U1253"/>
  <c r="V1252"/>
  <c r="U1252"/>
  <c r="V1251"/>
  <c r="U1251"/>
  <c r="V1250"/>
  <c r="U1250"/>
  <c r="V1249"/>
  <c r="U1249"/>
  <c r="V1248"/>
  <c r="U1248"/>
  <c r="V1247"/>
  <c r="U1247"/>
  <c r="V1246"/>
  <c r="U1246"/>
  <c r="V1245"/>
  <c r="U1245"/>
  <c r="V1244"/>
  <c r="U1244"/>
  <c r="U1243"/>
  <c r="U1242"/>
  <c r="V1241"/>
  <c r="U1241"/>
  <c r="V1240"/>
  <c r="U1240"/>
  <c r="V1239"/>
  <c r="U1239"/>
  <c r="V1238"/>
  <c r="U1238"/>
  <c r="V1237"/>
  <c r="U1237"/>
  <c r="V1236"/>
  <c r="U1236"/>
  <c r="V1235"/>
  <c r="U1235"/>
  <c r="V1234"/>
  <c r="U1234"/>
  <c r="V1233"/>
  <c r="U1233"/>
  <c r="V1232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V1213"/>
  <c r="U1213"/>
  <c r="V1212"/>
  <c r="U1212"/>
  <c r="V1211"/>
  <c r="U1211"/>
  <c r="V1210"/>
  <c r="U1210"/>
  <c r="V1209"/>
  <c r="U1209"/>
  <c r="V1208"/>
  <c r="U1208"/>
  <c r="V1207"/>
  <c r="U1207"/>
  <c r="V1206"/>
  <c r="U1206"/>
  <c r="V1205"/>
  <c r="U1205"/>
  <c r="V1204"/>
  <c r="U1204"/>
  <c r="V1203"/>
  <c r="U1203"/>
  <c r="V1202"/>
  <c r="U1202"/>
  <c r="V1201"/>
  <c r="U1201"/>
  <c r="V1200"/>
  <c r="U1200"/>
  <c r="V1199"/>
  <c r="U1199"/>
  <c r="V1198"/>
  <c r="U1198"/>
  <c r="V1197"/>
  <c r="U1197"/>
  <c r="V1196"/>
  <c r="U1196"/>
  <c r="V1195"/>
  <c r="U1195"/>
  <c r="V1194"/>
  <c r="U1194"/>
  <c r="V1193"/>
  <c r="U1193"/>
  <c r="V1192"/>
  <c r="U1192"/>
  <c r="V1191"/>
  <c r="U1191"/>
  <c r="V1190"/>
  <c r="U1190"/>
  <c r="V1189"/>
  <c r="U1189"/>
  <c r="V1188"/>
  <c r="U1188"/>
  <c r="V1187"/>
  <c r="U1187"/>
  <c r="V1186"/>
  <c r="U1186"/>
  <c r="V1185"/>
  <c r="U1185"/>
  <c r="V1184"/>
  <c r="U1184"/>
  <c r="V1183"/>
  <c r="U1183"/>
  <c r="V1182"/>
  <c r="U1182"/>
  <c r="V1181"/>
  <c r="U1181"/>
  <c r="V1180"/>
  <c r="U1180"/>
  <c r="V1179"/>
  <c r="U1179"/>
  <c r="V1178"/>
  <c r="U1178"/>
  <c r="V1177"/>
  <c r="U1177"/>
  <c r="V1176"/>
  <c r="U1176"/>
  <c r="V1175"/>
  <c r="U1175"/>
  <c r="U1174"/>
  <c r="V1173"/>
  <c r="U1173"/>
  <c r="V1172"/>
  <c r="U1172"/>
  <c r="V1171"/>
  <c r="U1171"/>
  <c r="V1170"/>
  <c r="U1170"/>
  <c r="V1169"/>
  <c r="U1169"/>
  <c r="V1168"/>
  <c r="U1168"/>
  <c r="V1167"/>
  <c r="U1167"/>
  <c r="V1166"/>
  <c r="U1166"/>
  <c r="V1165"/>
  <c r="U1165"/>
  <c r="V1164"/>
  <c r="U1164"/>
  <c r="V1163"/>
  <c r="U1163"/>
  <c r="V1162"/>
  <c r="U1162"/>
  <c r="V1161"/>
  <c r="U1161"/>
  <c r="V1160"/>
  <c r="U1160"/>
  <c r="V1159"/>
  <c r="U1159"/>
  <c r="U1158"/>
  <c r="V1157"/>
  <c r="U1157"/>
  <c r="V1156"/>
  <c r="U1156"/>
  <c r="V1155"/>
  <c r="U1155"/>
  <c r="V1154"/>
  <c r="U1154"/>
  <c r="V1153"/>
  <c r="U1153"/>
  <c r="V1152"/>
  <c r="U1152"/>
  <c r="U1151"/>
  <c r="V1150"/>
  <c r="U1150"/>
  <c r="V1149"/>
  <c r="U1149"/>
  <c r="V1148"/>
  <c r="U1148"/>
  <c r="V1147"/>
  <c r="U1147"/>
  <c r="V1146"/>
  <c r="U1146"/>
  <c r="V1145"/>
  <c r="U1145"/>
  <c r="V1144"/>
  <c r="U1144"/>
  <c r="V1143"/>
  <c r="U1143"/>
  <c r="V1142"/>
  <c r="U1142"/>
  <c r="V1141"/>
  <c r="U1141"/>
  <c r="V1140"/>
  <c r="U1140"/>
  <c r="V1139"/>
  <c r="U1139"/>
  <c r="V1138"/>
  <c r="U1138"/>
  <c r="V1137"/>
  <c r="U1137"/>
  <c r="V1136"/>
  <c r="U1136"/>
  <c r="V1135"/>
  <c r="U1135"/>
  <c r="V1134"/>
  <c r="U1134"/>
  <c r="V1133"/>
  <c r="U1133"/>
  <c r="V1132"/>
  <c r="U1132"/>
  <c r="V1131"/>
  <c r="U1131"/>
  <c r="V1130"/>
  <c r="U1130"/>
  <c r="V1129"/>
  <c r="U1129"/>
  <c r="V1128"/>
  <c r="U1128"/>
  <c r="V1127"/>
  <c r="U1127"/>
  <c r="V1126"/>
  <c r="U1126"/>
  <c r="V1125"/>
  <c r="U1125"/>
  <c r="V1124"/>
  <c r="U1124"/>
  <c r="V1123"/>
  <c r="U1123"/>
  <c r="V1122"/>
  <c r="U1122"/>
  <c r="V1121"/>
  <c r="U1121"/>
  <c r="V1120"/>
  <c r="U1120"/>
  <c r="V1119"/>
  <c r="U1119"/>
  <c r="V1118"/>
  <c r="U1118"/>
  <c r="V1117"/>
  <c r="U1117"/>
  <c r="V1116"/>
  <c r="U1116"/>
  <c r="U1115"/>
  <c r="V1114"/>
  <c r="U1114"/>
  <c r="V1113"/>
  <c r="U1113"/>
  <c r="V1112"/>
  <c r="U1112"/>
  <c r="V1111"/>
  <c r="U1111"/>
  <c r="V1110"/>
  <c r="U1110"/>
  <c r="V1109"/>
  <c r="U1109"/>
  <c r="V1108"/>
  <c r="U1108"/>
  <c r="V1107"/>
  <c r="U1107"/>
  <c r="V1106"/>
  <c r="U1106"/>
  <c r="V1105"/>
  <c r="U1105"/>
  <c r="V1104"/>
  <c r="U1104"/>
  <c r="V1103"/>
  <c r="U1103"/>
  <c r="V1102"/>
  <c r="U1102"/>
  <c r="V1101"/>
  <c r="U1101"/>
  <c r="V1100"/>
  <c r="U1100"/>
  <c r="V1099"/>
  <c r="U1099"/>
  <c r="V1098"/>
  <c r="U1098"/>
  <c r="V1097"/>
  <c r="U1097"/>
  <c r="V1096"/>
  <c r="U1096"/>
  <c r="V1095"/>
  <c r="U1095"/>
  <c r="V1094"/>
  <c r="U1094"/>
  <c r="V1093"/>
  <c r="U1093"/>
  <c r="V1092"/>
  <c r="U1092"/>
  <c r="V1091"/>
  <c r="U1091"/>
  <c r="V1090"/>
  <c r="U1090"/>
  <c r="V1089"/>
  <c r="U1089"/>
  <c r="V1088"/>
  <c r="U1088"/>
  <c r="V1087"/>
  <c r="U1087"/>
  <c r="V1086"/>
  <c r="U1086"/>
  <c r="V1085"/>
  <c r="U1085"/>
  <c r="V1084"/>
  <c r="U1084"/>
  <c r="V1083"/>
  <c r="U1083"/>
  <c r="V1082"/>
  <c r="U1082"/>
  <c r="U1081"/>
  <c r="V1080"/>
  <c r="U1080"/>
  <c r="V1079"/>
  <c r="U1079"/>
  <c r="V1078"/>
  <c r="U1078"/>
  <c r="V1077"/>
  <c r="U1077"/>
  <c r="V1076"/>
  <c r="U1076"/>
  <c r="V1075"/>
  <c r="U1075"/>
  <c r="V1074"/>
  <c r="U1074"/>
  <c r="U1073"/>
  <c r="V1072"/>
  <c r="U1072"/>
  <c r="V1071"/>
  <c r="U1071"/>
  <c r="U1070"/>
  <c r="U1069"/>
  <c r="V1068"/>
  <c r="U1068"/>
  <c r="V1067"/>
  <c r="U1067"/>
  <c r="V1066"/>
  <c r="U1066"/>
  <c r="V1065"/>
  <c r="U1065"/>
  <c r="V1064"/>
  <c r="U1064"/>
  <c r="V1063"/>
  <c r="U1063"/>
  <c r="V1062"/>
  <c r="U1062"/>
  <c r="V1061"/>
  <c r="U1061"/>
  <c r="V1060"/>
  <c r="U1060"/>
  <c r="V1059"/>
  <c r="U1059"/>
  <c r="V1058"/>
  <c r="U1058"/>
  <c r="V1057"/>
  <c r="U1057"/>
  <c r="V1056"/>
  <c r="U1056"/>
  <c r="V1055"/>
  <c r="U1055"/>
  <c r="V1054"/>
  <c r="U1054"/>
  <c r="V1053"/>
  <c r="U1053"/>
  <c r="V1052"/>
  <c r="U1052"/>
  <c r="V1051"/>
  <c r="U1051"/>
  <c r="V1050"/>
  <c r="U1050"/>
  <c r="V1049"/>
  <c r="U1049"/>
  <c r="V1048"/>
  <c r="U1048"/>
  <c r="V1047"/>
  <c r="U1047"/>
  <c r="V1046"/>
  <c r="U1046"/>
  <c r="V1045"/>
  <c r="U1045"/>
  <c r="V1044"/>
  <c r="U1044"/>
  <c r="U1043"/>
  <c r="V1042"/>
  <c r="U1042"/>
  <c r="V1041"/>
  <c r="U1041"/>
  <c r="V1040"/>
  <c r="U1040"/>
  <c r="V1039"/>
  <c r="U1039"/>
  <c r="V1038"/>
  <c r="U1038"/>
  <c r="V1037"/>
  <c r="U1037"/>
  <c r="V1036"/>
  <c r="U1036"/>
  <c r="V1035"/>
  <c r="U1035"/>
  <c r="V1034"/>
  <c r="U1034"/>
  <c r="V1033"/>
  <c r="U1033"/>
  <c r="V1032"/>
  <c r="U1032"/>
  <c r="U1031"/>
  <c r="V1030"/>
  <c r="U1030"/>
  <c r="V1029"/>
  <c r="U1029"/>
  <c r="V1028"/>
  <c r="U1028"/>
  <c r="U1027"/>
  <c r="V1026"/>
  <c r="U1026"/>
  <c r="V1025"/>
  <c r="U1025"/>
  <c r="V1024"/>
  <c r="U1024"/>
  <c r="V1023"/>
  <c r="U1023"/>
  <c r="V1022"/>
  <c r="U1022"/>
  <c r="U1021"/>
  <c r="V1020"/>
  <c r="U1020"/>
  <c r="V1019"/>
  <c r="U1019"/>
  <c r="V1018"/>
  <c r="U1018"/>
  <c r="V1017"/>
  <c r="U1017"/>
  <c r="V1016"/>
  <c r="U1016"/>
  <c r="V1015"/>
  <c r="U1015"/>
  <c r="V1014"/>
  <c r="U1014"/>
  <c r="V1013"/>
  <c r="U1013"/>
  <c r="U1012"/>
  <c r="V1011"/>
  <c r="U1011"/>
  <c r="V1010"/>
  <c r="U1010"/>
  <c r="V1009"/>
  <c r="U1009"/>
  <c r="V1008"/>
  <c r="U1008"/>
  <c r="V1007"/>
  <c r="U1007"/>
  <c r="V1006"/>
  <c r="U1006"/>
  <c r="V1005"/>
  <c r="U1005"/>
  <c r="V1004"/>
  <c r="U1004"/>
  <c r="V1003"/>
  <c r="U1003"/>
  <c r="V1002"/>
  <c r="U1002"/>
  <c r="V1001"/>
  <c r="U1001"/>
  <c r="V1000"/>
  <c r="U1000"/>
  <c r="V999"/>
  <c r="U999"/>
  <c r="V998"/>
  <c r="U998"/>
  <c r="V997"/>
  <c r="U997"/>
  <c r="V996"/>
  <c r="U996"/>
  <c r="V995"/>
  <c r="U995"/>
  <c r="V994"/>
  <c r="U994"/>
  <c r="V993"/>
  <c r="U993"/>
  <c r="V992"/>
  <c r="U992"/>
  <c r="V991"/>
  <c r="U991"/>
  <c r="V990"/>
  <c r="U990"/>
  <c r="V989"/>
  <c r="U989"/>
  <c r="V988"/>
  <c r="U988"/>
  <c r="V987"/>
  <c r="U987"/>
  <c r="V986"/>
  <c r="U986"/>
  <c r="V985"/>
  <c r="U985"/>
  <c r="V984"/>
  <c r="U984"/>
  <c r="V983"/>
  <c r="U983"/>
  <c r="V982"/>
  <c r="U982"/>
  <c r="V981"/>
  <c r="U981"/>
  <c r="V980"/>
  <c r="U980"/>
  <c r="V979"/>
  <c r="U979"/>
  <c r="V978"/>
  <c r="U978"/>
  <c r="V977"/>
  <c r="U977"/>
  <c r="V976"/>
  <c r="U976"/>
  <c r="V975"/>
  <c r="U975"/>
  <c r="V974"/>
  <c r="U974"/>
  <c r="V973"/>
  <c r="U973"/>
  <c r="V972"/>
  <c r="U972"/>
  <c r="V971"/>
  <c r="U971"/>
  <c r="V970"/>
  <c r="U970"/>
  <c r="V969"/>
  <c r="U969"/>
  <c r="V968"/>
  <c r="U968"/>
  <c r="V967"/>
  <c r="U967"/>
  <c r="V966"/>
  <c r="U966"/>
  <c r="V965"/>
  <c r="U965"/>
  <c r="V964"/>
  <c r="U964"/>
  <c r="V963"/>
  <c r="U963"/>
  <c r="V962"/>
  <c r="U962"/>
  <c r="V961"/>
  <c r="U961"/>
  <c r="V960"/>
  <c r="U960"/>
  <c r="V959"/>
  <c r="U959"/>
  <c r="V958"/>
  <c r="U958"/>
  <c r="V957"/>
  <c r="U957"/>
  <c r="V956"/>
  <c r="U956"/>
  <c r="V955"/>
  <c r="U955"/>
  <c r="V954"/>
  <c r="U954"/>
  <c r="V953"/>
  <c r="U953"/>
  <c r="V952"/>
  <c r="U952"/>
  <c r="V951"/>
  <c r="U951"/>
  <c r="V950"/>
  <c r="U950"/>
  <c r="V949"/>
  <c r="U949"/>
  <c r="V948"/>
  <c r="U948"/>
  <c r="V947"/>
  <c r="U947"/>
  <c r="V946"/>
  <c r="U946"/>
  <c r="V945"/>
  <c r="U945"/>
  <c r="V944"/>
  <c r="U944"/>
  <c r="V943"/>
  <c r="U943"/>
  <c r="U942"/>
  <c r="V941"/>
  <c r="U941"/>
  <c r="V940"/>
  <c r="U940"/>
  <c r="V939"/>
  <c r="U939"/>
  <c r="V938"/>
  <c r="U938"/>
  <c r="V937"/>
  <c r="U937"/>
  <c r="V936"/>
  <c r="U936"/>
  <c r="V935"/>
  <c r="U935"/>
  <c r="V934"/>
  <c r="U934"/>
  <c r="V933"/>
  <c r="U933"/>
  <c r="V932"/>
  <c r="U932"/>
  <c r="V931"/>
  <c r="U931"/>
  <c r="V930"/>
  <c r="U930"/>
  <c r="V929"/>
  <c r="U929"/>
  <c r="V928"/>
  <c r="U928"/>
  <c r="V927"/>
  <c r="U927"/>
  <c r="V926"/>
  <c r="U926"/>
  <c r="V925"/>
  <c r="U925"/>
  <c r="V924"/>
  <c r="U924"/>
  <c r="V923"/>
  <c r="U923"/>
  <c r="V922"/>
  <c r="U922"/>
  <c r="V921"/>
  <c r="U921"/>
  <c r="V920"/>
  <c r="U920"/>
  <c r="V919"/>
  <c r="U919"/>
  <c r="V918"/>
  <c r="U918"/>
  <c r="V917"/>
  <c r="U917"/>
  <c r="V916"/>
  <c r="U916"/>
  <c r="V915"/>
  <c r="U915"/>
  <c r="V914"/>
  <c r="U914"/>
  <c r="V913"/>
  <c r="U913"/>
  <c r="V912"/>
  <c r="U912"/>
  <c r="V911"/>
  <c r="U911"/>
  <c r="V910"/>
  <c r="U910"/>
  <c r="V909"/>
  <c r="U909"/>
  <c r="V908"/>
  <c r="U908"/>
  <c r="V907"/>
  <c r="U907"/>
  <c r="V906"/>
  <c r="U906"/>
  <c r="V905"/>
  <c r="U905"/>
  <c r="V904"/>
  <c r="U904"/>
  <c r="U903"/>
  <c r="V902"/>
  <c r="U902"/>
  <c r="V901"/>
  <c r="U901"/>
  <c r="V900"/>
  <c r="U900"/>
  <c r="V899"/>
  <c r="U899"/>
  <c r="V898"/>
  <c r="U898"/>
  <c r="V897"/>
  <c r="U897"/>
  <c r="V896"/>
  <c r="U896"/>
  <c r="V895"/>
  <c r="U895"/>
  <c r="U894"/>
  <c r="V893"/>
  <c r="U893"/>
  <c r="V892"/>
  <c r="U892"/>
  <c r="V891"/>
  <c r="U891"/>
  <c r="V890"/>
  <c r="U890"/>
  <c r="V889"/>
  <c r="U889"/>
  <c r="V888"/>
  <c r="U888"/>
  <c r="V887"/>
  <c r="U887"/>
  <c r="V886"/>
  <c r="U886"/>
  <c r="V885"/>
  <c r="U885"/>
  <c r="V884"/>
  <c r="U884"/>
  <c r="U883"/>
  <c r="V882"/>
  <c r="U882"/>
  <c r="V881"/>
  <c r="U881"/>
  <c r="V880"/>
  <c r="U880"/>
  <c r="V879"/>
  <c r="U879"/>
  <c r="V878"/>
  <c r="U878"/>
  <c r="U877"/>
  <c r="V876"/>
  <c r="U876"/>
  <c r="V875"/>
  <c r="U875"/>
  <c r="V874"/>
  <c r="U874"/>
  <c r="V873"/>
  <c r="U873"/>
  <c r="V872"/>
  <c r="U872"/>
  <c r="V871"/>
  <c r="U871"/>
  <c r="V870"/>
  <c r="U870"/>
  <c r="V869"/>
  <c r="U869"/>
  <c r="V868"/>
  <c r="U868"/>
  <c r="V867"/>
  <c r="U867"/>
  <c r="V866"/>
  <c r="U866"/>
  <c r="V865"/>
  <c r="U865"/>
  <c r="V864"/>
  <c r="U864"/>
  <c r="V863"/>
  <c r="U863"/>
  <c r="V862"/>
  <c r="U862"/>
  <c r="U861"/>
  <c r="V860"/>
  <c r="U860"/>
  <c r="V859"/>
  <c r="U859"/>
  <c r="V858"/>
  <c r="U858"/>
  <c r="U857"/>
  <c r="V856"/>
  <c r="U856"/>
  <c r="V855"/>
  <c r="U855"/>
  <c r="V854"/>
  <c r="U854"/>
  <c r="V853"/>
  <c r="U853"/>
  <c r="V852"/>
  <c r="U852"/>
  <c r="V851"/>
  <c r="U851"/>
  <c r="V850"/>
  <c r="U850"/>
  <c r="V849"/>
  <c r="U849"/>
  <c r="V848"/>
  <c r="U848"/>
  <c r="V847"/>
  <c r="U847"/>
  <c r="V846"/>
  <c r="U846"/>
  <c r="V845"/>
  <c r="U845"/>
  <c r="V844"/>
  <c r="U844"/>
  <c r="V843"/>
  <c r="U843"/>
  <c r="V842"/>
  <c r="U842"/>
  <c r="V841"/>
  <c r="U841"/>
  <c r="V840"/>
  <c r="U840"/>
  <c r="V839"/>
  <c r="U839"/>
  <c r="V838"/>
  <c r="U838"/>
  <c r="V837"/>
  <c r="U837"/>
  <c r="V836"/>
  <c r="U836"/>
  <c r="V835"/>
  <c r="U835"/>
  <c r="V834"/>
  <c r="U834"/>
  <c r="V833"/>
  <c r="U833"/>
  <c r="V832"/>
  <c r="U832"/>
  <c r="V831"/>
  <c r="U831"/>
  <c r="V830"/>
  <c r="U830"/>
  <c r="V829"/>
  <c r="U829"/>
  <c r="U828"/>
  <c r="V827"/>
  <c r="U827"/>
  <c r="V826"/>
  <c r="U826"/>
  <c r="V825"/>
  <c r="U825"/>
  <c r="V824"/>
  <c r="U824"/>
  <c r="V823"/>
  <c r="U823"/>
  <c r="V822"/>
  <c r="U822"/>
  <c r="V821"/>
  <c r="U821"/>
  <c r="V820"/>
  <c r="U820"/>
  <c r="V819"/>
  <c r="U819"/>
  <c r="V818"/>
  <c r="U818"/>
  <c r="V817"/>
  <c r="U817"/>
  <c r="V816"/>
  <c r="U816"/>
  <c r="V815"/>
  <c r="U815"/>
  <c r="V814"/>
  <c r="U814"/>
  <c r="V813"/>
  <c r="U813"/>
  <c r="V812"/>
  <c r="U812"/>
  <c r="V811"/>
  <c r="U811"/>
  <c r="V810"/>
  <c r="U810"/>
  <c r="V809"/>
  <c r="U809"/>
  <c r="V808"/>
  <c r="U808"/>
  <c r="V807"/>
  <c r="U807"/>
  <c r="V806"/>
  <c r="U806"/>
  <c r="V805"/>
  <c r="U805"/>
  <c r="V804"/>
  <c r="U804"/>
  <c r="V803"/>
  <c r="U803"/>
  <c r="V802"/>
  <c r="U802"/>
  <c r="V801"/>
  <c r="U801"/>
  <c r="U800"/>
  <c r="V799"/>
  <c r="U799"/>
  <c r="V798"/>
  <c r="U798"/>
  <c r="V797"/>
  <c r="U797"/>
  <c r="V796"/>
  <c r="U796"/>
  <c r="V795"/>
  <c r="U795"/>
  <c r="V794"/>
  <c r="U794"/>
  <c r="V793"/>
  <c r="U793"/>
  <c r="V792"/>
  <c r="U792"/>
  <c r="V791"/>
  <c r="U791"/>
  <c r="V790"/>
  <c r="U790"/>
  <c r="V789"/>
  <c r="U789"/>
  <c r="V788"/>
  <c r="U788"/>
  <c r="U787"/>
  <c r="V786"/>
  <c r="U786"/>
  <c r="V785"/>
  <c r="U785"/>
  <c r="V784"/>
  <c r="U784"/>
  <c r="V783"/>
  <c r="U783"/>
  <c r="U782"/>
  <c r="U781"/>
  <c r="V780"/>
  <c r="U780"/>
  <c r="V779"/>
  <c r="U779"/>
  <c r="V778"/>
  <c r="U778"/>
  <c r="V777"/>
  <c r="U777"/>
  <c r="V776"/>
  <c r="U776"/>
  <c r="V775"/>
  <c r="U775"/>
  <c r="V774"/>
  <c r="U774"/>
  <c r="V773"/>
  <c r="U773"/>
  <c r="V772"/>
  <c r="U772"/>
  <c r="V771"/>
  <c r="U771"/>
  <c r="V770"/>
  <c r="U770"/>
  <c r="U769"/>
  <c r="V768"/>
  <c r="U768"/>
  <c r="V767"/>
  <c r="U767"/>
  <c r="V766"/>
  <c r="U766"/>
  <c r="V765"/>
  <c r="U765"/>
  <c r="V764"/>
  <c r="U764"/>
  <c r="V763"/>
  <c r="U763"/>
  <c r="V762"/>
  <c r="U762"/>
  <c r="V761"/>
  <c r="U761"/>
  <c r="V760"/>
  <c r="U760"/>
  <c r="V759"/>
  <c r="U759"/>
  <c r="V758"/>
  <c r="U758"/>
  <c r="V757"/>
  <c r="U757"/>
  <c r="V756"/>
  <c r="U756"/>
  <c r="V755"/>
  <c r="U755"/>
  <c r="V754"/>
  <c r="U754"/>
  <c r="V753"/>
  <c r="U753"/>
  <c r="V752"/>
  <c r="U752"/>
  <c r="V751"/>
  <c r="U751"/>
  <c r="V750"/>
  <c r="U750"/>
  <c r="V749"/>
  <c r="U749"/>
  <c r="V748"/>
  <c r="U748"/>
  <c r="V747"/>
  <c r="U747"/>
  <c r="V746"/>
  <c r="U746"/>
  <c r="V745"/>
  <c r="U745"/>
  <c r="V744"/>
  <c r="U744"/>
  <c r="V743"/>
  <c r="U743"/>
  <c r="V742"/>
  <c r="U742"/>
  <c r="V741"/>
  <c r="U741"/>
  <c r="V740"/>
  <c r="U740"/>
  <c r="V739"/>
  <c r="U739"/>
  <c r="V738"/>
  <c r="U738"/>
  <c r="V737"/>
  <c r="U737"/>
  <c r="V736"/>
  <c r="U736"/>
  <c r="V735"/>
  <c r="U735"/>
  <c r="V734"/>
  <c r="U734"/>
  <c r="V733"/>
  <c r="U733"/>
  <c r="U732"/>
  <c r="V731"/>
  <c r="U731"/>
  <c r="V730"/>
  <c r="U730"/>
  <c r="V729"/>
  <c r="U729"/>
  <c r="V728"/>
  <c r="U728"/>
  <c r="V727"/>
  <c r="U727"/>
  <c r="V726"/>
  <c r="U726"/>
  <c r="V725"/>
  <c r="U725"/>
  <c r="V724"/>
  <c r="U724"/>
  <c r="V723"/>
  <c r="U723"/>
  <c r="V722"/>
  <c r="U722"/>
  <c r="V721"/>
  <c r="U721"/>
  <c r="U720"/>
  <c r="V719"/>
  <c r="U719"/>
  <c r="V718"/>
  <c r="U718"/>
  <c r="V717"/>
  <c r="U717"/>
  <c r="V716"/>
  <c r="U716"/>
  <c r="V715"/>
  <c r="U715"/>
  <c r="V714"/>
  <c r="U714"/>
  <c r="V713"/>
  <c r="U713"/>
  <c r="V712"/>
  <c r="U712"/>
  <c r="V711"/>
  <c r="U711"/>
  <c r="V710"/>
  <c r="U710"/>
  <c r="U709"/>
  <c r="V708"/>
  <c r="U708"/>
  <c r="V707"/>
  <c r="U707"/>
  <c r="V706"/>
  <c r="U706"/>
  <c r="V705"/>
  <c r="U705"/>
  <c r="V704"/>
  <c r="U704"/>
  <c r="V703"/>
  <c r="U703"/>
  <c r="V702"/>
  <c r="U702"/>
  <c r="V701"/>
  <c r="U701"/>
  <c r="U699"/>
  <c r="U698"/>
  <c r="U697"/>
  <c r="U696"/>
  <c r="U695"/>
  <c r="U694"/>
  <c r="U693"/>
  <c r="U692"/>
  <c r="V691"/>
  <c r="U691"/>
  <c r="V690"/>
  <c r="U690"/>
  <c r="V689"/>
  <c r="U689"/>
  <c r="V688"/>
  <c r="U688"/>
  <c r="V687"/>
  <c r="U687"/>
  <c r="V686"/>
  <c r="U686"/>
  <c r="V685"/>
  <c r="U685"/>
  <c r="V684"/>
  <c r="U684"/>
  <c r="V683"/>
  <c r="U683"/>
  <c r="U682"/>
  <c r="V681"/>
  <c r="U681"/>
  <c r="V680"/>
  <c r="U680"/>
  <c r="V679"/>
  <c r="U679"/>
  <c r="V678"/>
  <c r="U678"/>
  <c r="V677"/>
  <c r="U677"/>
  <c r="V676"/>
  <c r="U676"/>
  <c r="V675"/>
  <c r="U675"/>
  <c r="U674"/>
  <c r="V673"/>
  <c r="U673"/>
  <c r="V672"/>
  <c r="U672"/>
  <c r="V671"/>
  <c r="U671"/>
  <c r="V670"/>
  <c r="U670"/>
  <c r="V669"/>
  <c r="U669"/>
  <c r="V668"/>
  <c r="U668"/>
  <c r="V667"/>
  <c r="U667"/>
  <c r="V666"/>
  <c r="U666"/>
  <c r="V665"/>
  <c r="U665"/>
  <c r="V664"/>
  <c r="U664"/>
  <c r="V663"/>
  <c r="U663"/>
  <c r="V662"/>
  <c r="U662"/>
  <c r="V661"/>
  <c r="U661"/>
  <c r="V660"/>
  <c r="U660"/>
  <c r="V659"/>
  <c r="U659"/>
  <c r="V658"/>
  <c r="U658"/>
  <c r="V657"/>
  <c r="U657"/>
  <c r="V656"/>
  <c r="U656"/>
  <c r="V655"/>
  <c r="U655"/>
  <c r="V654"/>
  <c r="U654"/>
  <c r="V653"/>
  <c r="U653"/>
  <c r="V652"/>
  <c r="U652"/>
  <c r="V651"/>
  <c r="U651"/>
  <c r="V650"/>
  <c r="U650"/>
  <c r="V649"/>
  <c r="U649"/>
  <c r="V648"/>
  <c r="U648"/>
  <c r="V647"/>
  <c r="U647"/>
  <c r="V646"/>
  <c r="U646"/>
  <c r="V645"/>
  <c r="U645"/>
  <c r="U644"/>
  <c r="V643"/>
  <c r="U643"/>
  <c r="V642"/>
  <c r="U642"/>
  <c r="V641"/>
  <c r="U641"/>
  <c r="V640"/>
  <c r="U640"/>
  <c r="V639"/>
  <c r="U639"/>
  <c r="V638"/>
  <c r="U638"/>
  <c r="V637"/>
  <c r="U637"/>
  <c r="V636"/>
  <c r="U636"/>
  <c r="V635"/>
  <c r="U635"/>
  <c r="V634"/>
  <c r="U634"/>
  <c r="V633"/>
  <c r="U633"/>
  <c r="V632"/>
  <c r="U632"/>
  <c r="V631"/>
  <c r="U631"/>
  <c r="V630"/>
  <c r="U630"/>
  <c r="V629"/>
  <c r="U629"/>
  <c r="V628"/>
  <c r="U628"/>
  <c r="V627"/>
  <c r="U627"/>
  <c r="V626"/>
  <c r="U626"/>
  <c r="V625"/>
  <c r="U625"/>
  <c r="V624"/>
  <c r="U624"/>
  <c r="V623"/>
  <c r="U623"/>
  <c r="V622"/>
  <c r="U622"/>
  <c r="V621"/>
  <c r="U621"/>
  <c r="V620"/>
  <c r="U620"/>
  <c r="V619"/>
  <c r="U619"/>
  <c r="V618"/>
  <c r="U618"/>
  <c r="V617"/>
  <c r="U617"/>
  <c r="V616"/>
  <c r="U616"/>
  <c r="V615"/>
  <c r="U615"/>
  <c r="V614"/>
  <c r="U614"/>
  <c r="V613"/>
  <c r="U613"/>
  <c r="V612"/>
  <c r="U612"/>
  <c r="V611"/>
  <c r="U611"/>
  <c r="V610"/>
  <c r="U610"/>
  <c r="V609"/>
  <c r="U609"/>
  <c r="V608"/>
  <c r="U608"/>
  <c r="V607"/>
  <c r="U607"/>
  <c r="V606"/>
  <c r="U606"/>
  <c r="V605"/>
  <c r="U605"/>
  <c r="V604"/>
  <c r="U604"/>
  <c r="V603"/>
  <c r="U603"/>
  <c r="V602"/>
  <c r="U602"/>
  <c r="V601"/>
  <c r="U601"/>
  <c r="V600"/>
  <c r="U600"/>
  <c r="V599"/>
  <c r="U599"/>
  <c r="V598"/>
  <c r="U598"/>
  <c r="U597"/>
  <c r="V596"/>
  <c r="U596"/>
  <c r="V595"/>
  <c r="U595"/>
  <c r="V594"/>
  <c r="U594"/>
  <c r="V593"/>
  <c r="U593"/>
  <c r="V592"/>
  <c r="U592"/>
  <c r="V591"/>
  <c r="U591"/>
  <c r="V590"/>
  <c r="U590"/>
  <c r="V589"/>
  <c r="U589"/>
  <c r="V588"/>
  <c r="U588"/>
  <c r="V587"/>
  <c r="U587"/>
  <c r="V586"/>
  <c r="U586"/>
  <c r="V585"/>
  <c r="U585"/>
  <c r="V584"/>
  <c r="U584"/>
  <c r="V583"/>
  <c r="U583"/>
  <c r="V582"/>
  <c r="U582"/>
  <c r="V581"/>
  <c r="U581"/>
  <c r="U580"/>
  <c r="V579"/>
  <c r="U579"/>
  <c r="V578"/>
  <c r="U578"/>
  <c r="V577"/>
  <c r="U577"/>
  <c r="U576"/>
  <c r="V575"/>
  <c r="U575"/>
  <c r="V574"/>
  <c r="U574"/>
  <c r="V573"/>
  <c r="U573"/>
  <c r="V572"/>
  <c r="U572"/>
  <c r="V571"/>
  <c r="U571"/>
  <c r="V570"/>
  <c r="U570"/>
  <c r="V569"/>
  <c r="U569"/>
  <c r="V568"/>
  <c r="U568"/>
  <c r="V567"/>
  <c r="U567"/>
  <c r="V566"/>
  <c r="U566"/>
  <c r="V565"/>
  <c r="U565"/>
  <c r="V564"/>
  <c r="U564"/>
  <c r="V563"/>
  <c r="U563"/>
  <c r="V562"/>
  <c r="U562"/>
  <c r="V561"/>
  <c r="U561"/>
  <c r="V560"/>
  <c r="U560"/>
  <c r="V559"/>
  <c r="U559"/>
  <c r="V558"/>
  <c r="U558"/>
  <c r="V557"/>
  <c r="U557"/>
  <c r="V556"/>
  <c r="U556"/>
  <c r="V555"/>
  <c r="U555"/>
  <c r="V554"/>
  <c r="U554"/>
  <c r="V553"/>
  <c r="U553"/>
  <c r="V552"/>
  <c r="U552"/>
  <c r="V551"/>
  <c r="U551"/>
  <c r="V550"/>
  <c r="U550"/>
  <c r="V549"/>
  <c r="U549"/>
  <c r="V548"/>
  <c r="U548"/>
  <c r="V547"/>
  <c r="U547"/>
  <c r="V546"/>
  <c r="U546"/>
  <c r="U545"/>
  <c r="V544"/>
  <c r="U544"/>
  <c r="V543"/>
  <c r="U543"/>
  <c r="V542"/>
  <c r="U542"/>
  <c r="V541"/>
  <c r="U541"/>
  <c r="V540"/>
  <c r="U540"/>
  <c r="V539"/>
  <c r="U539"/>
  <c r="V538"/>
  <c r="U538"/>
  <c r="V537"/>
  <c r="U537"/>
  <c r="V536"/>
  <c r="U536"/>
  <c r="V535"/>
  <c r="U535"/>
  <c r="V534"/>
  <c r="U534"/>
  <c r="V533"/>
  <c r="U533"/>
  <c r="V532"/>
  <c r="U532"/>
  <c r="V531"/>
  <c r="U531"/>
  <c r="V530"/>
  <c r="U530"/>
  <c r="V529"/>
  <c r="U529"/>
  <c r="V528"/>
  <c r="U528"/>
  <c r="V527"/>
  <c r="U527"/>
  <c r="V526"/>
  <c r="U526"/>
  <c r="V525"/>
  <c r="U525"/>
  <c r="V524"/>
  <c r="U524"/>
  <c r="V523"/>
  <c r="U523"/>
  <c r="V522"/>
  <c r="U522"/>
  <c r="V521"/>
  <c r="U521"/>
  <c r="V520"/>
  <c r="U520"/>
  <c r="V519"/>
  <c r="U519"/>
  <c r="V518"/>
  <c r="U518"/>
  <c r="V517"/>
  <c r="U517"/>
  <c r="V516"/>
  <c r="U516"/>
  <c r="V515"/>
  <c r="U515"/>
  <c r="V514"/>
  <c r="U514"/>
  <c r="V513"/>
  <c r="U513"/>
  <c r="V512"/>
  <c r="U512"/>
  <c r="V511"/>
  <c r="U511"/>
  <c r="V510"/>
  <c r="U510"/>
  <c r="V509"/>
  <c r="U509"/>
  <c r="V508"/>
  <c r="U508"/>
  <c r="V507"/>
  <c r="U507"/>
  <c r="V506"/>
  <c r="U506"/>
  <c r="V505"/>
  <c r="U505"/>
  <c r="V504"/>
  <c r="U504"/>
  <c r="V503"/>
  <c r="U503"/>
  <c r="V502"/>
  <c r="U502"/>
  <c r="V501"/>
  <c r="U501"/>
  <c r="V500"/>
  <c r="U500"/>
  <c r="V499"/>
  <c r="U499"/>
  <c r="V498"/>
  <c r="U498"/>
  <c r="V497"/>
  <c r="U497"/>
  <c r="V496"/>
  <c r="U496"/>
  <c r="V495"/>
  <c r="U495"/>
  <c r="V494"/>
  <c r="U494"/>
  <c r="V493"/>
  <c r="U493"/>
  <c r="U492"/>
  <c r="V491"/>
  <c r="U491"/>
  <c r="V490"/>
  <c r="U490"/>
  <c r="V489"/>
  <c r="U489"/>
  <c r="V488"/>
  <c r="U488"/>
  <c r="V487"/>
  <c r="U487"/>
  <c r="V486"/>
  <c r="U486"/>
  <c r="V485"/>
  <c r="U485"/>
  <c r="V484"/>
  <c r="U484"/>
  <c r="V483"/>
  <c r="U483"/>
  <c r="U482"/>
  <c r="V481"/>
  <c r="U481"/>
  <c r="V480"/>
  <c r="U480"/>
  <c r="V479"/>
  <c r="U479"/>
  <c r="V478"/>
  <c r="U478"/>
  <c r="V477"/>
  <c r="U477"/>
  <c r="V476"/>
  <c r="U476"/>
  <c r="V475"/>
  <c r="U475"/>
  <c r="V474"/>
  <c r="U474"/>
  <c r="V473"/>
  <c r="U473"/>
  <c r="V472"/>
  <c r="U472"/>
  <c r="V471"/>
  <c r="U471"/>
  <c r="V470"/>
  <c r="U470"/>
  <c r="V469"/>
  <c r="U469"/>
  <c r="V468"/>
  <c r="U468"/>
  <c r="V467"/>
  <c r="U467"/>
  <c r="V466"/>
  <c r="U466"/>
  <c r="V465"/>
  <c r="U465"/>
  <c r="V464"/>
  <c r="U464"/>
  <c r="V463"/>
  <c r="U463"/>
  <c r="V462"/>
  <c r="U462"/>
  <c r="U461"/>
  <c r="V460"/>
  <c r="U460"/>
  <c r="V459"/>
  <c r="U459"/>
  <c r="V458"/>
  <c r="U458"/>
  <c r="V457"/>
  <c r="U457"/>
  <c r="V456"/>
  <c r="U456"/>
  <c r="V455"/>
  <c r="U455"/>
  <c r="V454"/>
  <c r="U454"/>
  <c r="V453"/>
  <c r="U453"/>
  <c r="V452"/>
  <c r="U452"/>
  <c r="V451"/>
  <c r="U451"/>
  <c r="V450"/>
  <c r="U450"/>
  <c r="V449"/>
  <c r="U449"/>
  <c r="V448"/>
  <c r="U448"/>
  <c r="V447"/>
  <c r="U447"/>
  <c r="V446"/>
  <c r="U446"/>
  <c r="V445"/>
  <c r="U445"/>
  <c r="U444"/>
  <c r="V443"/>
  <c r="U443"/>
  <c r="V442"/>
  <c r="U442"/>
  <c r="V441"/>
  <c r="U441"/>
  <c r="U440"/>
  <c r="U439"/>
  <c r="V438"/>
  <c r="U438"/>
  <c r="V437"/>
  <c r="U437"/>
  <c r="V436"/>
  <c r="U436"/>
  <c r="V435"/>
  <c r="U435"/>
  <c r="V434"/>
  <c r="U434"/>
  <c r="V433"/>
  <c r="U433"/>
  <c r="V432"/>
  <c r="U432"/>
  <c r="V431"/>
  <c r="U431"/>
  <c r="V430"/>
  <c r="U430"/>
  <c r="V429"/>
  <c r="U429"/>
  <c r="V428"/>
  <c r="U428"/>
  <c r="V427"/>
  <c r="U427"/>
  <c r="V426"/>
  <c r="U426"/>
  <c r="U425"/>
  <c r="V424"/>
  <c r="U424"/>
  <c r="V423"/>
  <c r="U423"/>
  <c r="V422"/>
  <c r="U422"/>
  <c r="V421"/>
  <c r="U421"/>
  <c r="V420"/>
  <c r="U420"/>
  <c r="V419"/>
  <c r="U419"/>
  <c r="V418"/>
  <c r="U418"/>
  <c r="V417"/>
  <c r="U417"/>
  <c r="V416"/>
  <c r="U416"/>
  <c r="U415"/>
  <c r="U414"/>
  <c r="V413"/>
  <c r="U413"/>
  <c r="V412"/>
  <c r="U412"/>
  <c r="V411"/>
  <c r="U411"/>
  <c r="V410"/>
  <c r="U410"/>
  <c r="V409"/>
  <c r="U409"/>
  <c r="V408"/>
  <c r="U408"/>
  <c r="V407"/>
  <c r="U407"/>
  <c r="V406"/>
  <c r="U406"/>
  <c r="V405"/>
  <c r="U405"/>
  <c r="V404"/>
  <c r="U404"/>
  <c r="V403"/>
  <c r="U403"/>
  <c r="V402"/>
  <c r="U402"/>
  <c r="V401"/>
  <c r="U401"/>
  <c r="V400"/>
  <c r="U400"/>
  <c r="V399"/>
  <c r="U399"/>
  <c r="U398"/>
  <c r="V397"/>
  <c r="U397"/>
  <c r="V396"/>
  <c r="U396"/>
  <c r="V395"/>
  <c r="U395"/>
  <c r="V394"/>
  <c r="U394"/>
  <c r="V393"/>
  <c r="U393"/>
  <c r="V392"/>
  <c r="U392"/>
  <c r="V391"/>
  <c r="U391"/>
  <c r="V390"/>
  <c r="U390"/>
  <c r="V389"/>
  <c r="U389"/>
  <c r="V388"/>
  <c r="U388"/>
  <c r="V387"/>
  <c r="U387"/>
  <c r="V386"/>
  <c r="U386"/>
  <c r="V385"/>
  <c r="U385"/>
  <c r="V384"/>
  <c r="U384"/>
  <c r="V383"/>
  <c r="U383"/>
  <c r="V382"/>
  <c r="U382"/>
  <c r="V381"/>
  <c r="U381"/>
  <c r="V380"/>
  <c r="U380"/>
  <c r="V379"/>
  <c r="U379"/>
  <c r="V378"/>
  <c r="U378"/>
  <c r="V377"/>
  <c r="U377"/>
  <c r="V376"/>
  <c r="U376"/>
  <c r="V375"/>
  <c r="U375"/>
  <c r="V374"/>
  <c r="U374"/>
  <c r="U373"/>
  <c r="V372"/>
  <c r="U372"/>
  <c r="V371"/>
  <c r="U371"/>
  <c r="V370"/>
  <c r="U370"/>
  <c r="V369"/>
  <c r="U369"/>
  <c r="V368"/>
  <c r="U368"/>
  <c r="V367"/>
  <c r="U367"/>
  <c r="V366"/>
  <c r="U366"/>
  <c r="V365"/>
  <c r="U365"/>
  <c r="V364"/>
  <c r="U364"/>
  <c r="V363"/>
  <c r="U363"/>
  <c r="V362"/>
  <c r="U362"/>
  <c r="V361"/>
  <c r="U361"/>
  <c r="V360"/>
  <c r="U360"/>
  <c r="V359"/>
  <c r="U359"/>
  <c r="V358"/>
  <c r="U358"/>
  <c r="V357"/>
  <c r="U357"/>
  <c r="V356"/>
  <c r="U356"/>
  <c r="V355"/>
  <c r="U355"/>
  <c r="V354"/>
  <c r="U354"/>
  <c r="V353"/>
  <c r="U353"/>
  <c r="V352"/>
  <c r="U352"/>
  <c r="V351"/>
  <c r="U351"/>
  <c r="V350"/>
  <c r="U350"/>
  <c r="V349"/>
  <c r="U349"/>
  <c r="V348"/>
  <c r="U348"/>
  <c r="V347"/>
  <c r="U347"/>
  <c r="V346"/>
  <c r="U346"/>
  <c r="V345"/>
  <c r="U345"/>
  <c r="V344"/>
  <c r="U344"/>
  <c r="V343"/>
  <c r="U343"/>
  <c r="V342"/>
  <c r="U342"/>
  <c r="V341"/>
  <c r="U341"/>
  <c r="V340"/>
  <c r="U340"/>
  <c r="V339"/>
  <c r="U339"/>
  <c r="V338"/>
  <c r="U338"/>
  <c r="V337"/>
  <c r="U337"/>
  <c r="V336"/>
  <c r="U336"/>
  <c r="V335"/>
  <c r="U335"/>
  <c r="V334"/>
  <c r="U334"/>
  <c r="V333"/>
  <c r="U333"/>
  <c r="V332"/>
  <c r="U332"/>
  <c r="V331"/>
  <c r="U331"/>
  <c r="V330"/>
  <c r="U330"/>
  <c r="V329"/>
  <c r="U329"/>
  <c r="V328"/>
  <c r="U328"/>
  <c r="V327"/>
  <c r="U327"/>
  <c r="V326"/>
  <c r="U325"/>
  <c r="V324"/>
  <c r="U324"/>
  <c r="V323"/>
  <c r="U323"/>
  <c r="V322"/>
  <c r="U322"/>
  <c r="V321"/>
  <c r="U321"/>
  <c r="V320"/>
  <c r="U320"/>
  <c r="V319"/>
  <c r="U319"/>
  <c r="V318"/>
  <c r="U318"/>
  <c r="V317"/>
  <c r="U317"/>
  <c r="V316"/>
  <c r="U316"/>
  <c r="V315"/>
  <c r="U315"/>
  <c r="V314"/>
  <c r="U314"/>
  <c r="V313"/>
  <c r="U313"/>
  <c r="V312"/>
  <c r="U312"/>
  <c r="V311"/>
  <c r="U311"/>
  <c r="U310"/>
  <c r="V309"/>
  <c r="U309"/>
  <c r="V308"/>
  <c r="U308"/>
  <c r="V307"/>
  <c r="U307"/>
  <c r="V306"/>
  <c r="U306"/>
  <c r="V305"/>
  <c r="U305"/>
  <c r="V304"/>
  <c r="U304"/>
  <c r="V303"/>
  <c r="U303"/>
  <c r="V302"/>
  <c r="U302"/>
  <c r="V301"/>
  <c r="U301"/>
  <c r="V300"/>
  <c r="U300"/>
  <c r="V299"/>
  <c r="U299"/>
  <c r="V298"/>
  <c r="U298"/>
  <c r="V297"/>
  <c r="U297"/>
  <c r="V296"/>
  <c r="U296"/>
  <c r="V295"/>
  <c r="U295"/>
  <c r="V294"/>
  <c r="U294"/>
  <c r="V293"/>
  <c r="U293"/>
  <c r="U292"/>
  <c r="V291"/>
  <c r="U291"/>
  <c r="V290"/>
  <c r="U290"/>
  <c r="U289"/>
  <c r="U288"/>
  <c r="V287"/>
  <c r="U287"/>
  <c r="V286"/>
  <c r="U286"/>
  <c r="U285"/>
  <c r="V284"/>
  <c r="U284"/>
  <c r="V283"/>
  <c r="U283"/>
  <c r="U282"/>
  <c r="V281"/>
  <c r="U281"/>
  <c r="V280"/>
  <c r="U280"/>
  <c r="V279"/>
  <c r="U279"/>
  <c r="V278"/>
  <c r="U278"/>
  <c r="V277"/>
  <c r="U277"/>
  <c r="V276"/>
  <c r="U276"/>
  <c r="V275"/>
  <c r="U275"/>
  <c r="V274"/>
  <c r="U274"/>
  <c r="V273"/>
  <c r="U273"/>
  <c r="V272"/>
  <c r="U272"/>
  <c r="V271"/>
  <c r="U271"/>
  <c r="V270"/>
  <c r="U270"/>
  <c r="V269"/>
  <c r="U269"/>
  <c r="U268"/>
  <c r="V267"/>
  <c r="U267"/>
  <c r="V266"/>
  <c r="U266"/>
  <c r="V265"/>
  <c r="U265"/>
  <c r="V264"/>
  <c r="U264"/>
  <c r="U263"/>
  <c r="V262"/>
  <c r="U262"/>
  <c r="V261"/>
  <c r="U261"/>
  <c r="V260"/>
  <c r="U260"/>
  <c r="V259"/>
  <c r="U259"/>
  <c r="V258"/>
  <c r="U258"/>
  <c r="V257"/>
  <c r="U257"/>
  <c r="V256"/>
  <c r="U256"/>
  <c r="V255"/>
  <c r="U255"/>
  <c r="V254"/>
  <c r="U254"/>
  <c r="V253"/>
  <c r="U253"/>
  <c r="V252"/>
  <c r="U252"/>
  <c r="V251"/>
  <c r="U251"/>
  <c r="U250"/>
  <c r="V249"/>
  <c r="U249"/>
  <c r="V248"/>
  <c r="U248"/>
  <c r="V247"/>
  <c r="U247"/>
  <c r="V246"/>
  <c r="U246"/>
  <c r="V245"/>
  <c r="U245"/>
  <c r="V244"/>
  <c r="U244"/>
  <c r="V243"/>
  <c r="U243"/>
  <c r="V242"/>
  <c r="U242"/>
  <c r="V241"/>
  <c r="U241"/>
  <c r="V240"/>
  <c r="U240"/>
  <c r="V239"/>
  <c r="U239"/>
  <c r="V238"/>
  <c r="U238"/>
  <c r="V237"/>
  <c r="U237"/>
  <c r="V236"/>
  <c r="U236"/>
  <c r="V235"/>
  <c r="U235"/>
  <c r="V234"/>
  <c r="U234"/>
  <c r="U233"/>
  <c r="V232"/>
  <c r="U232"/>
  <c r="U231"/>
  <c r="V230"/>
  <c r="U230"/>
  <c r="V229"/>
  <c r="U229"/>
  <c r="V228"/>
  <c r="U228"/>
  <c r="V227"/>
  <c r="U227"/>
  <c r="V226"/>
  <c r="U226"/>
  <c r="V225"/>
  <c r="U225"/>
  <c r="V224"/>
  <c r="U224"/>
  <c r="V223"/>
  <c r="U223"/>
  <c r="V222"/>
  <c r="U222"/>
  <c r="V221"/>
  <c r="U221"/>
  <c r="V220"/>
  <c r="U220"/>
  <c r="V219"/>
  <c r="U219"/>
  <c r="V218"/>
  <c r="U218"/>
  <c r="V217"/>
  <c r="U217"/>
  <c r="V216"/>
  <c r="U216"/>
  <c r="V215"/>
  <c r="U215"/>
  <c r="V214"/>
  <c r="U214"/>
  <c r="U213"/>
  <c r="V212"/>
  <c r="U212"/>
  <c r="V211"/>
  <c r="U211"/>
  <c r="V210"/>
  <c r="U210"/>
  <c r="V209"/>
  <c r="U209"/>
  <c r="V208"/>
  <c r="U208"/>
  <c r="V207"/>
  <c r="U207"/>
  <c r="V206"/>
  <c r="U206"/>
  <c r="V205"/>
  <c r="U205"/>
  <c r="V204"/>
  <c r="U204"/>
  <c r="V203"/>
  <c r="U203"/>
  <c r="V202"/>
  <c r="U202"/>
  <c r="V201"/>
  <c r="U201"/>
  <c r="V200"/>
  <c r="U200"/>
  <c r="V199"/>
  <c r="U199"/>
  <c r="V198"/>
  <c r="U198"/>
  <c r="V197"/>
  <c r="U197"/>
  <c r="V196"/>
  <c r="U196"/>
  <c r="V195"/>
  <c r="U195"/>
  <c r="V194"/>
  <c r="U194"/>
  <c r="V193"/>
  <c r="U193"/>
  <c r="V192"/>
  <c r="U192"/>
  <c r="V191"/>
  <c r="U191"/>
  <c r="V190"/>
  <c r="U190"/>
  <c r="V189"/>
  <c r="U189"/>
  <c r="V188"/>
  <c r="U188"/>
  <c r="V187"/>
  <c r="U187"/>
  <c r="V186"/>
  <c r="U186"/>
  <c r="V185"/>
  <c r="U185"/>
  <c r="V184"/>
  <c r="U184"/>
  <c r="V183"/>
  <c r="U183"/>
  <c r="V182"/>
  <c r="U182"/>
  <c r="V181"/>
  <c r="U181"/>
  <c r="V180"/>
  <c r="U180"/>
  <c r="V179"/>
  <c r="U179"/>
  <c r="V178"/>
  <c r="U178"/>
  <c r="V177"/>
  <c r="U177"/>
  <c r="V176"/>
  <c r="U176"/>
  <c r="V175"/>
  <c r="U175"/>
  <c r="V174"/>
  <c r="U174"/>
  <c r="V173"/>
  <c r="U173"/>
  <c r="V172"/>
  <c r="U172"/>
  <c r="V171"/>
  <c r="U171"/>
  <c r="V170"/>
  <c r="U170"/>
  <c r="V169"/>
  <c r="U169"/>
  <c r="V168"/>
  <c r="U168"/>
  <c r="V167"/>
  <c r="U167"/>
  <c r="V166"/>
  <c r="U166"/>
  <c r="V165"/>
  <c r="U165"/>
  <c r="V164"/>
  <c r="U164"/>
  <c r="V163"/>
  <c r="U163"/>
  <c r="V162"/>
  <c r="U162"/>
  <c r="V161"/>
  <c r="U161"/>
  <c r="U160"/>
  <c r="V159"/>
  <c r="U159"/>
  <c r="V158"/>
  <c r="U158"/>
  <c r="V157"/>
  <c r="U157"/>
  <c r="V156"/>
  <c r="U156"/>
  <c r="V155"/>
  <c r="U155"/>
  <c r="V154"/>
  <c r="U154"/>
  <c r="V153"/>
  <c r="U153"/>
  <c r="V152"/>
  <c r="U152"/>
  <c r="V151"/>
  <c r="U151"/>
  <c r="V150"/>
  <c r="U150"/>
  <c r="V149"/>
  <c r="U149"/>
  <c r="V148"/>
  <c r="U148"/>
  <c r="V147"/>
  <c r="U147"/>
  <c r="V146"/>
  <c r="U146"/>
  <c r="V145"/>
  <c r="U145"/>
  <c r="V144"/>
  <c r="U144"/>
  <c r="V143"/>
  <c r="U143"/>
  <c r="V142"/>
  <c r="U142"/>
  <c r="V141"/>
  <c r="U141"/>
  <c r="V140"/>
  <c r="U140"/>
  <c r="V139"/>
  <c r="U139"/>
  <c r="V138"/>
  <c r="U138"/>
  <c r="V137"/>
  <c r="U137"/>
  <c r="V136"/>
  <c r="U136"/>
  <c r="V135"/>
  <c r="U135"/>
  <c r="V134"/>
  <c r="U134"/>
  <c r="V133"/>
  <c r="U133"/>
  <c r="V132"/>
  <c r="U132"/>
  <c r="V131"/>
  <c r="U131"/>
  <c r="V130"/>
  <c r="U130"/>
  <c r="V129"/>
  <c r="U129"/>
  <c r="V128"/>
  <c r="U128"/>
  <c r="V127"/>
  <c r="U127"/>
  <c r="V126"/>
  <c r="U126"/>
  <c r="V125"/>
  <c r="U125"/>
  <c r="V124"/>
  <c r="U124"/>
  <c r="V123"/>
  <c r="U123"/>
  <c r="V122"/>
  <c r="U122"/>
  <c r="V121"/>
  <c r="U121"/>
  <c r="V120"/>
  <c r="U120"/>
  <c r="V119"/>
  <c r="U119"/>
  <c r="V118"/>
  <c r="U118"/>
  <c r="V117"/>
  <c r="U117"/>
  <c r="V116"/>
  <c r="U116"/>
  <c r="V115"/>
  <c r="U115"/>
  <c r="V114"/>
  <c r="U114"/>
  <c r="V113"/>
  <c r="U113"/>
  <c r="V112"/>
  <c r="U112"/>
  <c r="V111"/>
  <c r="U111"/>
  <c r="V110"/>
  <c r="U110"/>
  <c r="V109"/>
  <c r="U109"/>
  <c r="V108"/>
  <c r="U108"/>
  <c r="V107"/>
  <c r="U107"/>
  <c r="V106"/>
  <c r="U106"/>
  <c r="V105"/>
  <c r="U105"/>
  <c r="V104"/>
  <c r="U104"/>
  <c r="V103"/>
  <c r="U103"/>
  <c r="V102"/>
  <c r="U102"/>
  <c r="V101"/>
  <c r="U101"/>
  <c r="V100"/>
  <c r="U100"/>
  <c r="V99"/>
  <c r="U99"/>
  <c r="V98"/>
  <c r="U98"/>
  <c r="V97"/>
  <c r="U97"/>
  <c r="V96"/>
  <c r="U96"/>
  <c r="U95"/>
  <c r="U94"/>
  <c r="V93"/>
  <c r="U93"/>
  <c r="V92"/>
  <c r="U92"/>
  <c r="V91"/>
  <c r="U91"/>
  <c r="V90"/>
  <c r="U90"/>
  <c r="V89"/>
  <c r="U89"/>
  <c r="V88"/>
  <c r="U88"/>
  <c r="V87"/>
  <c r="U87"/>
  <c r="U86"/>
  <c r="V85"/>
  <c r="U85"/>
  <c r="V84"/>
  <c r="U84"/>
  <c r="V83"/>
  <c r="U83"/>
  <c r="V82"/>
  <c r="U82"/>
  <c r="V81"/>
  <c r="U81"/>
  <c r="V80"/>
  <c r="U80"/>
  <c r="V79"/>
  <c r="U79"/>
  <c r="V78"/>
  <c r="U78"/>
  <c r="V77"/>
  <c r="U77"/>
  <c r="V76"/>
  <c r="U76"/>
  <c r="V75"/>
  <c r="U75"/>
  <c r="V74"/>
  <c r="U74"/>
  <c r="V73"/>
  <c r="U73"/>
  <c r="V72"/>
  <c r="U72"/>
  <c r="V71"/>
  <c r="U71"/>
  <c r="V70"/>
  <c r="U70"/>
  <c r="V69"/>
  <c r="U69"/>
  <c r="V68"/>
  <c r="U68"/>
  <c r="V67"/>
  <c r="U67"/>
  <c r="V66"/>
  <c r="U66"/>
  <c r="V65"/>
  <c r="U65"/>
  <c r="V64"/>
  <c r="U64"/>
  <c r="V63"/>
  <c r="U63"/>
  <c r="V62"/>
  <c r="U62"/>
  <c r="V61"/>
  <c r="U61"/>
  <c r="V60"/>
  <c r="U60"/>
  <c r="V59"/>
  <c r="U59"/>
  <c r="V58"/>
  <c r="U58"/>
  <c r="V57"/>
  <c r="U57"/>
  <c r="V56"/>
  <c r="U56"/>
  <c r="V55"/>
  <c r="U55"/>
  <c r="V54"/>
  <c r="U54"/>
  <c r="V53"/>
  <c r="U53"/>
  <c r="V52"/>
  <c r="U52"/>
  <c r="V51"/>
  <c r="U51"/>
  <c r="V50"/>
  <c r="U50"/>
  <c r="U49"/>
  <c r="V48"/>
  <c r="U48"/>
  <c r="V47"/>
  <c r="U47"/>
  <c r="V46"/>
  <c r="U46"/>
  <c r="V45"/>
  <c r="U45"/>
  <c r="U44"/>
  <c r="V43"/>
  <c r="U43"/>
  <c r="U42"/>
  <c r="V41"/>
  <c r="U41"/>
  <c r="V40"/>
  <c r="U40"/>
  <c r="V39"/>
  <c r="U39"/>
  <c r="V38"/>
  <c r="U38"/>
  <c r="V37"/>
  <c r="U37"/>
  <c r="V36"/>
  <c r="U36"/>
  <c r="V35"/>
  <c r="U35"/>
  <c r="V34"/>
  <c r="U34"/>
  <c r="V33"/>
  <c r="U33"/>
  <c r="V32"/>
  <c r="U32"/>
  <c r="V31"/>
  <c r="U31"/>
  <c r="V30"/>
  <c r="U30"/>
  <c r="V29"/>
  <c r="U29"/>
  <c r="V28"/>
  <c r="U28"/>
  <c r="V27"/>
  <c r="U27"/>
  <c r="V26"/>
  <c r="U26"/>
  <c r="V25"/>
  <c r="U25"/>
  <c r="V24"/>
  <c r="U24"/>
  <c r="V23"/>
  <c r="U23"/>
  <c r="U22"/>
  <c r="V21"/>
  <c r="U21"/>
  <c r="V20"/>
  <c r="U20"/>
  <c r="V19"/>
  <c r="U19"/>
  <c r="V18"/>
  <c r="U18"/>
  <c r="V17"/>
  <c r="U17"/>
  <c r="V16"/>
  <c r="U16"/>
  <c r="V15"/>
  <c r="U15"/>
  <c r="V14"/>
  <c r="U14"/>
  <c r="V13"/>
  <c r="U13"/>
  <c r="V12"/>
  <c r="U12"/>
  <c r="V11"/>
  <c r="U11"/>
  <c r="V10"/>
  <c r="U10"/>
  <c r="V9"/>
  <c r="U9"/>
  <c r="V8"/>
  <c r="U8"/>
  <c r="A5"/>
  <c r="A4"/>
</calcChain>
</file>

<file path=xl/sharedStrings.xml><?xml version="1.0" encoding="utf-8"?>
<sst xmlns="http://schemas.openxmlformats.org/spreadsheetml/2006/main" count="40313" uniqueCount="15429">
  <si>
    <t>ИНФРА-М Научно-издательский Центр</t>
  </si>
  <si>
    <t>Для научных библиотек. Научная литература
от 05.11.2025</t>
  </si>
  <si>
    <t>Данный прайс-лист не является публичной офертой</t>
  </si>
  <si>
    <t>127282, Москва г, ул Полярная, д. 31В, стр. 1, помещ 1/1</t>
  </si>
  <si>
    <t>Издательство оставляет за собой право на изменение ассортимента и цен на издания.
Информацию о наличии товара и актуальные цены уточняйте у вашего курирующего менеджера 
или напишите нам на электронную почту books@infra-m.ru</t>
  </si>
  <si>
    <t>тел/факс: +7 (495) 280-15-96</t>
  </si>
  <si>
    <t>Заказ</t>
  </si>
  <si>
    <t>Код</t>
  </si>
  <si>
    <t>Цена опт.</t>
  </si>
  <si>
    <t>Наименование товара</t>
  </si>
  <si>
    <t>Основное заглавие</t>
  </si>
  <si>
    <t>Авторы</t>
  </si>
  <si>
    <t>Оформление</t>
  </si>
  <si>
    <t>Издательство</t>
  </si>
  <si>
    <t>Серия</t>
  </si>
  <si>
    <t>Ст-т</t>
  </si>
  <si>
    <t>Стр.</t>
  </si>
  <si>
    <t>Год</t>
  </si>
  <si>
    <t>ISBN</t>
  </si>
  <si>
    <t>Раздел</t>
  </si>
  <si>
    <t>Подраздел</t>
  </si>
  <si>
    <t>Вид издания</t>
  </si>
  <si>
    <t>Уровень образования</t>
  </si>
  <si>
    <t>ОКСО</t>
  </si>
  <si>
    <t>Гриф МО</t>
  </si>
  <si>
    <t>Доп. мат. на znanium</t>
  </si>
  <si>
    <t>Обложка</t>
  </si>
  <si>
    <t>ЭБС Znanium</t>
  </si>
  <si>
    <t>Аффилиация автора</t>
  </si>
  <si>
    <t>Новинка месяца</t>
  </si>
  <si>
    <t>ПООП</t>
  </si>
  <si>
    <t>К</t>
  </si>
  <si>
    <t>Ш</t>
  </si>
  <si>
    <t>Победитель конкурсов</t>
  </si>
  <si>
    <t>185300.07.01</t>
  </si>
  <si>
    <t>"Влесова книга": введ. к науч. анализу источ.: Моногр. / Д.С.Логинов - М.: НИЦ ИНФРА-М, 2022-391с.(о)</t>
  </si>
  <si>
    <t>"ВЛЕСОВА КНИГА": ВВЕДЕНИЕ К НАУЧНОМУ АНАЛИЗУ ИСТОЧНИКА</t>
  </si>
  <si>
    <t>Логинов Д. С.</t>
  </si>
  <si>
    <t>Обложка. КБС</t>
  </si>
  <si>
    <t>НИЦ ИНФРА-М</t>
  </si>
  <si>
    <t>Научная мысль</t>
  </si>
  <si>
    <t>978-5-16-016800-5</t>
  </si>
  <si>
    <t>ОБЩЕСТВЕННЫЕ НАУКИ.  ЭКОНОМИКА. ПРАВО</t>
  </si>
  <si>
    <t>История. Исторические науки</t>
  </si>
  <si>
    <t>Монография</t>
  </si>
  <si>
    <t>Дополнительное образование / Дополнительное профессиональное образование</t>
  </si>
  <si>
    <t>46.03.01, 46.04.01, 46.06.01</t>
  </si>
  <si>
    <t>Рязанский государственный медицинский университет им. академика И.П. Павлова</t>
  </si>
  <si>
    <t>0112</t>
  </si>
  <si>
    <t>807007.02.01</t>
  </si>
  <si>
    <t>"Как закалялась сталь" Н. Островского...: Моногр. / С.Сунь - М.:НИЦ ИНФРА-М,2026. - 229 с.(Науч.мысль)(о)</t>
  </si>
  <si>
    <t>"КАК ЗАКАЛЯЛАСЬ СТАЛЬ" НИКОЛАЯ ОСТРОВСКОГО: ЛИНГВОКУЛЬТУРОЛОГИЧЕСКИЕ ОСОБЕННОСТИ ПЕРЕВОДА НА КИТАЙСКИЙ И АНГЛИЙСКИЙ ЯЗЫКИ</t>
  </si>
  <si>
    <t>Сунь С., Жирова И.Г.</t>
  </si>
  <si>
    <t>978-5-16-019635-0</t>
  </si>
  <si>
    <t>ГУМАНИТАРНЫЕ НАУКИ. РЕЛИГИЯ. ИСКУССТВО</t>
  </si>
  <si>
    <t>Филологические науки</t>
  </si>
  <si>
    <t>45.03.02, 45.04.02, 45.05.01</t>
  </si>
  <si>
    <t>Сюйчжоуский технологический институт</t>
  </si>
  <si>
    <t>0124</t>
  </si>
  <si>
    <t>АИСТ'ИЯ-2025, Лауреат</t>
  </si>
  <si>
    <t>684054.06.01</t>
  </si>
  <si>
    <t>"Народ против": протесты и протестующие...: Моногр. / С.Г.Ушкин - М.:НИЦ ИНФРА-М,2023 - 100 с.(Науч.мысль)(О)</t>
  </si>
  <si>
    <t>"НАРОД ПРОТИВ": ПРОТЕСТЫ И ПРОТЕСТУЮЩИЕ В ВИРТУАЛЬНЫХ СОЦИАЛЬНЫХ СЕТЯХ</t>
  </si>
  <si>
    <t>Ушкин С.Г.</t>
  </si>
  <si>
    <t>978-5-16-014079-7</t>
  </si>
  <si>
    <t>Политика. Социология</t>
  </si>
  <si>
    <t>39.03.01, 39.04.01, 41.03.04, 41.04.04</t>
  </si>
  <si>
    <t>Научный центр социально-экономического мониторинга</t>
  </si>
  <si>
    <t>0118</t>
  </si>
  <si>
    <t>683169.03.01</t>
  </si>
  <si>
    <t>"Сверх" как инструмент воздействия и поддержки:.. Моногр. / В.К.Харченко-М.:НИЦ ИНФРА-М,2021-156с(О)</t>
  </si>
  <si>
    <t>"СВЕРХ" КАК ИНСТРУМЕНТ ВОЗДЕЙСТВИЯ И ПОДДЕРЖКИ: СВЕРХМНОГОДЕТНОСТЬ, СВЕРХДОЛГОЛЕТИЕ, РАБОТОСПОСОБНОСТЬ</t>
  </si>
  <si>
    <t>Харченко В.К.</t>
  </si>
  <si>
    <t>978-5-16-014099-5</t>
  </si>
  <si>
    <t>45.04.03</t>
  </si>
  <si>
    <t>Белгородский государственный национальный исследовательский университет</t>
  </si>
  <si>
    <t>0119</t>
  </si>
  <si>
    <t>684798.07.01</t>
  </si>
  <si>
    <t>"Тайный ключ русской литературы"...: Моногр. / С.О.Курьянов - М.:НИЦ ИНФРА-М,2026. - 311 с.(П)</t>
  </si>
  <si>
    <t>"ТАЙНЫЙ КЛЮЧ РУССКОЙ ЛИТЕРАТУРЫ": ФОРМИРОВАНИЕ И СТАНОВЛЕНИЕ КРЫМСКОГО ТЕКСТА В РУССКОЙ ЛИТЕРАТУРЕ X-XIX ВЕКОВ</t>
  </si>
  <si>
    <t>Курьянов С.О.</t>
  </si>
  <si>
    <t>Переплет 7БЦ/Без шитья</t>
  </si>
  <si>
    <t>Научная мысль - 100 лет КрымФУ</t>
  </si>
  <si>
    <t>978-5-16-014774-1</t>
  </si>
  <si>
    <t>42.03.04, 44.03.05, 45.03.01, 45.03.02, 45.04.01, 45.04.02</t>
  </si>
  <si>
    <t>Крымский федеральный университет им. В.И. Вернадского, структурное подразделение Таврическая академия</t>
  </si>
  <si>
    <t>151950.10.01</t>
  </si>
  <si>
    <t>"Феноменология духа" и проблема структуры..: Моногр. /В.И.Коротких - М: НИЦ ИНФРА-М, 2025 - 382 с. (П)</t>
  </si>
  <si>
    <t>"ФЕНОМЕНОЛОГИЯ ДУХА" И ПРОБЛЕМА СТРУКТУРЫ СИСТЕМЫ ФИЛОСОФИИ В ТВОРЧЕСТВЕ ГЕГЕЛЯ</t>
  </si>
  <si>
    <t>Коротких В.И.</t>
  </si>
  <si>
    <t>978-5-16-009753-4</t>
  </si>
  <si>
    <t>Философия</t>
  </si>
  <si>
    <t>40.03.01, 44.03.01, 44.03.05, 47.03.01, 47.04.01</t>
  </si>
  <si>
    <t>Елецкий государственный университет им. И.А. Бунина</t>
  </si>
  <si>
    <t>0111</t>
  </si>
  <si>
    <t>672416.08.01</t>
  </si>
  <si>
    <t>"Цветные революции" и "Арабская весна" в конституц. измер. / Т.Я.Хабриева - М.:Юр.Норма,НИЦ ИНФРА-М,2025 - 192 с.(п)</t>
  </si>
  <si>
    <t>"ЦВЕТНЫЕ РЕВОЛЮЦИИ" И "АРАБСКАЯ ВЕСНА" В КОНСТИТУЦИОННОМ ИЗМЕРЕНИИ: ПОЛИТОЛОГО-ЮРИДИЧЕСКОЕ ИССЛЕДОВАНИЕ</t>
  </si>
  <si>
    <t>Хабриева Т.Я., Чиркин В.Е.</t>
  </si>
  <si>
    <t>Юр. НОРМА</t>
  </si>
  <si>
    <t>978-5-91768-880-0</t>
  </si>
  <si>
    <t>Право. Юридические науки</t>
  </si>
  <si>
    <t>40.03.01, 40.04.01, 40.05.01, 40.05.02, 41.03.04, 41.04.04</t>
  </si>
  <si>
    <t>Институт законодательства и сравнительного правоведения при Правительстве Российской Федерации</t>
  </si>
  <si>
    <t>763312.05.01</t>
  </si>
  <si>
    <t>"Чайка” А. П. Чехова. Поэтика. Проблематика...: Моногр. / А.Г.Головачёва - М.:НИЦ ИНФРА-М,2026 - 235 с.(О)</t>
  </si>
  <si>
    <t>"ЧАЙКА” А. П. ЧЕХОВА. ПОЭТИКА. ПРОБЛЕМАТИКА. ЛИТЕРАТУРНО-ТЕАТРАЛЬНЫЙ КОНТЕКСТ</t>
  </si>
  <si>
    <t>Головачёва А.Г.</t>
  </si>
  <si>
    <t>978-5-16-017152-4</t>
  </si>
  <si>
    <t>44.03.05, 45.07.01, 52.03.04, 52.03.05</t>
  </si>
  <si>
    <t>Театральный Музей им. А.А. Бахрушина, Бахрушинский Музей</t>
  </si>
  <si>
    <t>0122</t>
  </si>
  <si>
    <t>776902.04.01</t>
  </si>
  <si>
    <t>"Человек самоорганизующийся". Психология взаимодейств..: Моногр. / В.В.Гребнева - М.:НИЦ ИНФРА-М,2025 - 342 с.(о)</t>
  </si>
  <si>
    <t>"ЧЕЛОВЕК САМООРГАНИЗУЮЩИЙСЯ". ПСИХОЛОГИЯ ВЗАИМОДЕЙСТВИЯ В СФЕРЕ ВЫСШЕГО ОБРАЗОВАНИЯ</t>
  </si>
  <si>
    <t>Гребнева В.В.</t>
  </si>
  <si>
    <t>978-5-16-017671-0</t>
  </si>
  <si>
    <t>Психология</t>
  </si>
  <si>
    <t>37.04.01, 37.05.02, 37.06.01</t>
  </si>
  <si>
    <t>0123</t>
  </si>
  <si>
    <t>440550.08.01</t>
  </si>
  <si>
    <t>«Американская мечта» сегодня: ср. класс США в конце ХХ-нач.ХХI в. / И.В.Варивончик - М.:НИЦ ИНФРА-М,2026 - 317 с.(о)</t>
  </si>
  <si>
    <t>«АМЕРИКАНСКАЯ МЕЧТА» СЕГОДНЯ: СРЕДНИЙ КЛАСС США В КОНЦЕ ХХ - НАЧАЛЕ ХХI ВЕКА</t>
  </si>
  <si>
    <t>Варивончик И.В.</t>
  </si>
  <si>
    <t>978-5-16-016801-2</t>
  </si>
  <si>
    <t>38.03.01, 38.04.01, 39.03.01, 39.04.01, 41.03.04, 46.03.01, 46.03.03, 46.04.01, 46.04.03, 51.03.01, 51.04.01</t>
  </si>
  <si>
    <t>Белорусский государственный педагогический университет им. М. Танка</t>
  </si>
  <si>
    <t>0113</t>
  </si>
  <si>
    <t>761523.01.01</t>
  </si>
  <si>
    <t>«Замкнутые вселенные» сопротивления...: Моногр. / А.В.Скиперских - М.:НИЦ ИНФРА-М,2022 - 237 с.(П)</t>
  </si>
  <si>
    <t>«ЗАМКНУТЫЕ ВСЕЛЕННЫЕ» СОПРОТИВЛЕНИЯ: РАЗЫСКАНИЯ В ПРОСТРАНСТВЕ РУССКОЙ КУЛЬТУРЫ</t>
  </si>
  <si>
    <t>Скиперских А.В.</t>
  </si>
  <si>
    <t>Переплет 7БЦ</t>
  </si>
  <si>
    <t>978-5-16-017184-5</t>
  </si>
  <si>
    <t>44.04.01, 44.04.04, 44.06.01, 51.04.01, 51.06.01</t>
  </si>
  <si>
    <t>828589.04.01</t>
  </si>
  <si>
    <t>«Кино эпохи модерна» (Акционер. кинематогр...): Моногр. / А.А.Бессолицын - М.:НИЦ ИНФРА-М,2026 - 195 с.(п)</t>
  </si>
  <si>
    <t>«КИНО ЭПОХИ МОДЕРНА» (АКЦИОНЕРНЫЕ КИНЕМАТОГРАФИЧЕСКИЕ КОМПАНИИ В РОССИИ В НАЧАЛЕ ХХ ВЕКА)</t>
  </si>
  <si>
    <t>Бессолицын А.А.</t>
  </si>
  <si>
    <t>978-5-16-019929-0</t>
  </si>
  <si>
    <t>Искусство</t>
  </si>
  <si>
    <t>50.03.03</t>
  </si>
  <si>
    <t>Институт российской истории Российской академии наук</t>
  </si>
  <si>
    <t>683429.08.01</t>
  </si>
  <si>
    <t>«Православный тихий Дон» в творчестве..: Моногр. / Л.Г.Сатарова - М.:НИЦ ИНФРА-М,2024 - 270 с.(о)</t>
  </si>
  <si>
    <t>«ПРАВОСЛАВНЫЙ ТИХИЙ ДОН» В ТВОРЧЕСТВЕ М.А. ШОЛОХОВА И ЕГО ПРЕДШЕСТВЕННИКОВ</t>
  </si>
  <si>
    <t>Сатарова Л.Г.</t>
  </si>
  <si>
    <t>978-5-16-017481-5</t>
  </si>
  <si>
    <t>44.03.01, 45.03.01, 45.03.02, 45.03.99</t>
  </si>
  <si>
    <t>Липецкий государственный педагогический университет им. П.П. Семенова-Тян-Шанского</t>
  </si>
  <si>
    <t>852051.01.01</t>
  </si>
  <si>
    <t>«Разворот мировой демографии»..: Моногр. / Е.К.Гайкович - М.:НИЦ ИНФРА-М,2025. - 436 с.(Науч.мысль)(п)</t>
  </si>
  <si>
    <t>«РАЗВОРОТ МИРОВОЙ ДЕМОГРАФИИ»: ТРАНСФОРМАЦИЯ ПОДХОДОВ ПО ВОПРОСАМ НАРОДОНАСЕЛЕНИЯ</t>
  </si>
  <si>
    <t>Гайкович Е.К.</t>
  </si>
  <si>
    <t>978-5-16-020844-2</t>
  </si>
  <si>
    <t>Демография. Статистика</t>
  </si>
  <si>
    <t>38.03.01, 38.03.04, 38.04.01, 38.04.04, 38.06.01, 39.03.01, 39.04.01, 41.03.06</t>
  </si>
  <si>
    <t>Нижегородский государственный лингвистический университет им. Добролюбова</t>
  </si>
  <si>
    <t>Июль, 2025</t>
  </si>
  <si>
    <t>0125</t>
  </si>
  <si>
    <t>719581.05.01</t>
  </si>
  <si>
    <t>«Смена караула»: кадровый резерв Центр.-Азиатских элит. сообществ: Моногр. / Д.Д.Осинина-М.:НИЦ ИНФРА-М,2024-224с.(О)</t>
  </si>
  <si>
    <t>«СМЕНА КАРАУЛА»: КАДРОВЫЙ РЕЗЕРВ ЦЕНТРАЛЬНО-АЗИАТСКИХ ЭЛИТНЫХ СООБЩЕСТВ</t>
  </si>
  <si>
    <t>Осинина Д.Д.</t>
  </si>
  <si>
    <t>Научная мысль - Финансовый университет</t>
  </si>
  <si>
    <t>978-5-16-015680-4</t>
  </si>
  <si>
    <t>41.04.01, 41.04.04, 41.04.05, 41.06.01, 41.07.01</t>
  </si>
  <si>
    <t>Финансовый университет при Правительстве Российской Федерации</t>
  </si>
  <si>
    <t>0120</t>
  </si>
  <si>
    <t>699353.07.01</t>
  </si>
  <si>
    <t>«Советская Атлантида». Мифология революции: Моногр. / М.С.Колесов, - 2 изд.-М.:НИЦ ИНФРА-М,2025.-352с(П)</t>
  </si>
  <si>
    <t>«СОВЕТСКАЯ АТЛАНТИДА». МИФОЛОГИЯ РЕВОЛЮЦИИ, ИЗД.2</t>
  </si>
  <si>
    <t>Колесов М.С.</t>
  </si>
  <si>
    <t>Научная мысль (СевГУ)</t>
  </si>
  <si>
    <t>978-5-16-014778-9</t>
  </si>
  <si>
    <t>46.04.01, 46.06.01</t>
  </si>
  <si>
    <t>Севастопольский государственный университет</t>
  </si>
  <si>
    <t>0220</t>
  </si>
  <si>
    <t>450804.0026.01</t>
  </si>
  <si>
    <t>Advances in Law Studies, 2017, № 4</t>
  </si>
  <si>
    <t>ADVANCES IN LAW STUDIES, 2017, № 4</t>
  </si>
  <si>
    <t>Стародубцев Г.С. под ред.</t>
  </si>
  <si>
    <t>ИЦ РИОР</t>
  </si>
  <si>
    <t>Журнал</t>
  </si>
  <si>
    <t>768743.01.01</t>
  </si>
  <si>
    <t>Enhancing the effectiveness of regional economic policy...: Моногр. / А.В.Аверин - М.:НИЦ ИНФРА-М,2022 - 426 с.(П)</t>
  </si>
  <si>
    <t>ENHANCING THE EFFECTIVENESS OF REGIONAL ECONOMIC  POLICY IN THE FIELD OF SUPPORT AND DEVELOPMENT OF SMALL BUSINESSES</t>
  </si>
  <si>
    <t>Аверин А.В.</t>
  </si>
  <si>
    <t>978-5-16-017374-0</t>
  </si>
  <si>
    <t>Экономика. Бухгалтерский учет. Финансы</t>
  </si>
  <si>
    <t>38.04.01, 38.04.02, 38.04.04, 38.06.01</t>
  </si>
  <si>
    <t>-</t>
  </si>
  <si>
    <t>725294.01.01</t>
  </si>
  <si>
    <t>Ens realissimum: Жизнь и философия И,В, Гёте: Моногр. / П.А.Горохов-М.:НИЦ ИНФРА-М,2021.-401 с..-(Науч.мысль)(П)</t>
  </si>
  <si>
    <t>ENS REALISSIMUM: ЖИЗНЬ И ФИЛОСОФИЯ ИОГАННА ВОЛЬФГАНГА ГЁТЕ</t>
  </si>
  <si>
    <t>Горохов П.А.</t>
  </si>
  <si>
    <t>978-5-16-015882-2</t>
  </si>
  <si>
    <t>47.03.01, 47.04.01, 47.06.01</t>
  </si>
  <si>
    <t>Российская академия народного хозяйства и государственной службы при Президенте РФ, Оренбургский ф-л</t>
  </si>
  <si>
    <t>0121</t>
  </si>
  <si>
    <t>АКАДЕМУС-2019, Победитель</t>
  </si>
  <si>
    <t>805082.01.01</t>
  </si>
  <si>
    <t>ESG-концепция производ. учета и управл. устойчивостью..: Моногр. / Н.А.Казакова-М.:НИЦ ИНФРА-М,2024.-251 с.(п)</t>
  </si>
  <si>
    <t>ESG-КОНЦЕПЦИЯ ПРОИЗВОДСТВЕННОГО УЧЕТА И УПРАВЛЕНИЕ УСТОЙЧИВОСТЬЮ РАЗВИТИЯ ПРОМЫШЛЕННОЙ ОРГАНИЗАЦИИ</t>
  </si>
  <si>
    <t>Казакова Н.А., Пермитина Л.В.</t>
  </si>
  <si>
    <t>978-5-16-018717-4</t>
  </si>
  <si>
    <t>38.04.01, 38.04.02, 38.04.08, 38.06.01</t>
  </si>
  <si>
    <t>Российский экономический университет им. Г.В. Плеханова</t>
  </si>
  <si>
    <t>670262.04.01</t>
  </si>
  <si>
    <t>Homo nudes: Монография / Е.Ф.Казаков - М.:НИЦ ИНФРА-М,2022 - 242 с.-(Науч.мысль)(П)</t>
  </si>
  <si>
    <t>HOMO NUDES</t>
  </si>
  <si>
    <t>Казаков Е.Ф.</t>
  </si>
  <si>
    <t>978-5-16-013615-8</t>
  </si>
  <si>
    <t>40.04.01, 44.04.01, 47.04.01</t>
  </si>
  <si>
    <t>Кемеровский государственный университет</t>
  </si>
  <si>
    <t>401600.08.01</t>
  </si>
  <si>
    <t>NBIC-технологии: Инновац. цивилизация ХХI в: Моногр. / Под ред. Казанцев А.К.-М.:НИЦ ИНФРА-М,2024.-384 с.(П)</t>
  </si>
  <si>
    <t>NBIC-ТЕХНОЛОГИИ: ИННОВАЦИОННАЯ ЦИВИЛИЗАЦИЯ ХХI ВЕКА</t>
  </si>
  <si>
    <t>Казанцев А.К., Киселев В.Н., Рубвальтер Д.А. и др.</t>
  </si>
  <si>
    <t>978-5-16-005468-1</t>
  </si>
  <si>
    <t>ЕСТЕСТВЕННЫЕ НАУКИ. МАТЕМАТИКА</t>
  </si>
  <si>
    <t>Естественные науки в целом</t>
  </si>
  <si>
    <t>27.04.07, 38.03.01, 38.03.02, 38.03.04, 38.04.01, 38.04.02, 38.04.04, 41.03.06</t>
  </si>
  <si>
    <t>Санкт-Петербургский государственный университет</t>
  </si>
  <si>
    <t>684155.03.01</t>
  </si>
  <si>
    <t>Per aspera ad astra. Взаимоот.педагогов и уч. в отечест: Моногр. / О.А.Грива - М.:НИЦ ИНФРА-М,2022 - 143 с.(О)</t>
  </si>
  <si>
    <t>PER ASPERA AD ASTRA. ВЗАИМООТНОШЕНИЯ ПЕДАГОГОВ И УЧАЩИХСЯ В ОТЕЧЕСТВЕННОЙ ГИМНАЗИИ ВО ВТОРОЙ ПОЛОВИНЕ XIX - НАЧАЛЕ XX ВЕКА</t>
  </si>
  <si>
    <t>Грива О.А.</t>
  </si>
  <si>
    <t>978-5-16-014206-7</t>
  </si>
  <si>
    <t>ЛИТЕРАТУРА ДЛЯ СРЕДНЕЙ ШКОЛЫ И АБИТУРИЕНТОВ. ПЕДАГОГИКА</t>
  </si>
  <si>
    <t>Педагогика. Образование</t>
  </si>
  <si>
    <t>44.03.01, 44.03.05, 44.04.01</t>
  </si>
  <si>
    <t>Крымский федеральный университет им. В.И. Вернадского</t>
  </si>
  <si>
    <t>110450.09.01</t>
  </si>
  <si>
    <t>Pocket English Grammar (Карман.грамматика англ. яз.): Справ.пос. / И.Е. Торбан - ИНФРА-М, 2025 - 97 с.(о)</t>
  </si>
  <si>
    <t>POCKET ENGLISH GRAMMAR (КАРМАННАЯ ГРАММАТИКА АНГЛИЙСКОГО ЯЗЫКА)</t>
  </si>
  <si>
    <t>Торбан И. Е.</t>
  </si>
  <si>
    <t>Справочники ИНФРА-М</t>
  </si>
  <si>
    <t>978-5-16-018838-6</t>
  </si>
  <si>
    <t>Справочное пособие</t>
  </si>
  <si>
    <t>00.03.02, 00.05.02, 44.02.01</t>
  </si>
  <si>
    <t>0109</t>
  </si>
  <si>
    <t>450454.0026.01</t>
  </si>
  <si>
    <t>Russian journal of management, 2017, № 4</t>
  </si>
  <si>
    <t>RUSSIAN JOURNAL OF MANAGEMENT, 2017, № 4</t>
  </si>
  <si>
    <t>Резник С.Д.</t>
  </si>
  <si>
    <t>Управление (менеджмент)</t>
  </si>
  <si>
    <t>819790.01.01</t>
  </si>
  <si>
    <t>R-лингвистика: Моногр. / О.М.Поляков-М.:НИЦ ИНФРА-М,2024.-212 с.(Науч.мысль)(п)</t>
  </si>
  <si>
    <t>R-ЛИНГВИСТИКА</t>
  </si>
  <si>
    <t>Поляков О.М.</t>
  </si>
  <si>
    <t>978-5-16-019637-4</t>
  </si>
  <si>
    <t>Физико-математические науки</t>
  </si>
  <si>
    <t>01.04.02, 01.06.01, 02.04.02, 02.06.01, 03.03.03, 03.06.01, 09.04.01, 09.04.03, 09.06.01</t>
  </si>
  <si>
    <t>Санкт-Петербургский государственный университет аэрокосмического приборостроения (ГУАП)</t>
  </si>
  <si>
    <t>АКАДЕМУС-2023, Победитель, I место</t>
  </si>
  <si>
    <t>757761.01.01</t>
  </si>
  <si>
    <t>TEN LECTURES ON LAW: Монография / В.Д.Зорькин - М.:Юр.Норма, НИЦ ИНФРА-М,2021 - 344 с.(П)</t>
  </si>
  <si>
    <t>TEN LECTURES ON LAW</t>
  </si>
  <si>
    <t>Зорькин В.Д.</t>
  </si>
  <si>
    <t>978-5-00156-174-3</t>
  </si>
  <si>
    <t>40.03.01, 40.04.01, 40.05.01, 40.05.02, 40.05.03, 40.05.04, 40.06.01</t>
  </si>
  <si>
    <t>Конституционный суд Российской Федерации</t>
  </si>
  <si>
    <t>756460.03.01</t>
  </si>
  <si>
    <t>Thematic commentary to the Law of the Russian Federation: коммент. / T.Y.Khabrieva - М.:Юр.Норма,2022 - 216 с.(П)</t>
  </si>
  <si>
    <t>THEMATIC COMMENTARY TO THE LAW OF THE RUSSIAN FEDERATION AMENDING THE CONSTITUTION OF THE RUSSIAN FEDERATION OF MARCH 14, 2020 NO. 1-FKZ «ON IMPROVING</t>
  </si>
  <si>
    <t>Khabrieva T.Y.</t>
  </si>
  <si>
    <t>978-5-00156-167-5</t>
  </si>
  <si>
    <t>Комментарий</t>
  </si>
  <si>
    <t>40.04.01, 40.06.01</t>
  </si>
  <si>
    <t>445250.05.01</t>
  </si>
  <si>
    <t>XXI век. Россия. Расписание на сегодня/Ю.А.Ковалев-2изд-М.:ИЦ РИОР,НИЦ ИНФРА-М,2018-135с(Науч.мысль)</t>
  </si>
  <si>
    <t>XXI ВЕК. РОССИЯ. РАСПИСАНИЕ НА СЕГОДНЯ, ИЗД.2</t>
  </si>
  <si>
    <t>Ковалев Ю.А.</t>
  </si>
  <si>
    <t>978-5-369-01447-9</t>
  </si>
  <si>
    <t>41.04.04, 41.06.01, 46.04.01, 46.06.01</t>
  </si>
  <si>
    <t>Институт нефтехимического синтеза им. А.В. Топчиева Российской академии наук</t>
  </si>
  <si>
    <t>0216</t>
  </si>
  <si>
    <t>265400.11.01</t>
  </si>
  <si>
    <t>Абразивная обработка: Справ. / Л.И.Вереина - М.:НИЦ ИНФРА-М,2025 - 304 с.(Справ."ИНФРА-М")(П)</t>
  </si>
  <si>
    <t>АБРАЗИВНАЯ ОБРАБОТКА</t>
  </si>
  <si>
    <t>Вереина Л.И., Краснов М.М., Фрадкин Е.И.</t>
  </si>
  <si>
    <t>Справочники "ИНФРА-М"</t>
  </si>
  <si>
    <t>978-5-16-010397-6</t>
  </si>
  <si>
    <t>ПРИКЛАДНЫЕ НАУКИ. ТЕХНИКА. МЕДИЦИНА</t>
  </si>
  <si>
    <t>Энергетика. Промышленность</t>
  </si>
  <si>
    <t>Справочник</t>
  </si>
  <si>
    <t>Профессиональное образование</t>
  </si>
  <si>
    <t>12.02.04, 15.02.01, 15.02.16, 15.02.17, 15.02.18, 15.03.01, 15.03.02, 15.03.03, 15.03.04, 15.03.05, 15.03.06</t>
  </si>
  <si>
    <t>Московский государственный технический университет им. Н.Э. Баумана Национальный исследовательский университет</t>
  </si>
  <si>
    <t>0114</t>
  </si>
  <si>
    <t>758453.02.01</t>
  </si>
  <si>
    <t>Авиационно-ракетные кластеры и окруж. среда: Моногр. / Ж.Ю.Кочетова, -М.:НИЦ ИНФРА-М,2023.-266 с.(Науч.мысль)(О)</t>
  </si>
  <si>
    <t>АВИАЦИОННО-РАКЕТНЫЕ КЛАСТЕРЫ И ОКРУЖАЮЩАЯ СРЕДА</t>
  </si>
  <si>
    <t>Кочетова Ж.Ю., Маслова Н.В., Базарский О.В. и др.</t>
  </si>
  <si>
    <t>978-5-16-017033-6</t>
  </si>
  <si>
    <t>Науки о Земле. Экология</t>
  </si>
  <si>
    <t>05.03.06</t>
  </si>
  <si>
    <t>Военно-воздушная академия им. профессора Н.Е. Жуковского и Ю.А. Гагарина</t>
  </si>
  <si>
    <t>842186.01.01</t>
  </si>
  <si>
    <t>Австралийско-китайские отношения в XX и XXI в...: Моногр/ / Е.Ю.Каткова-М.:НИЦ ИНФРА-М,2025.-243 с.(п)</t>
  </si>
  <si>
    <t>АВСТРАЛИЙСКО-КИТАЙСКИЕ ОТНОШЕНИЯ В XX И XXI ВЕКЕ: ОСОБЕННОСТИ, ОСНОВНЫЕ НАПРАВЛЕНИЯ И ВЫЗОВЫ</t>
  </si>
  <si>
    <t>Каткова Е.Ю.</t>
  </si>
  <si>
    <t>978-5-16-020317-1</t>
  </si>
  <si>
    <t>46.04.01</t>
  </si>
  <si>
    <t>Российский университет дружбы народов имени Патриса Лумумбы</t>
  </si>
  <si>
    <t>Март, 2025</t>
  </si>
  <si>
    <t>167150.08.01</t>
  </si>
  <si>
    <t>Автоматизированные нечетко-логич. сист..: Моногр. /С.Г.Емельянов - М.: НИЦ ИНФРА-М, 2024 -175 с.(О)</t>
  </si>
  <si>
    <t>АВТОМАТИЗИРОВАННЫЕ НЕЧЕТКО-ЛОГИЧЕСКИЕ СИСТЕМЫ УПРАВЛЕНИЯ</t>
  </si>
  <si>
    <t>Емельянов С. Г., Титов В. С., Бобырь М. В.</t>
  </si>
  <si>
    <t>978-5-16-009759-6</t>
  </si>
  <si>
    <t>Технические науки в целом</t>
  </si>
  <si>
    <t>15.03.02, 15.04.01, 15.04.02</t>
  </si>
  <si>
    <t>Юго-Западный государственный университет</t>
  </si>
  <si>
    <t>167150.09.01</t>
  </si>
  <si>
    <t>Автоматизированные нечетко-логические сис..: Моногр. / М.В.Бобырь - 2 изд. - М.:НИЦ ИНФРА-М,2025. - 267 с.(о)</t>
  </si>
  <si>
    <t>АВТОМАТИЗИРОВАННЫЕ НЕЧЕТКО-ЛОГИЧЕСКИЕ СИСТЕМЫ УПРАВЛЕНИЯ И МЕТОДЫ ИХ ОЧУВСТВЛЕНИЯ, ИЗД.2</t>
  </si>
  <si>
    <t>Бобырь М.В., Емельянов С.Г., Милостная Н.А.</t>
  </si>
  <si>
    <t>978-5-16-020200-6</t>
  </si>
  <si>
    <t>Апрель, 2025</t>
  </si>
  <si>
    <t>0225</t>
  </si>
  <si>
    <t>154900.15.01</t>
  </si>
  <si>
    <t>Автомобильный справочник-энц.: Справ. пос. / Н.А. Кузьмин - М.:Форум, 2026 - 288 с.(П)</t>
  </si>
  <si>
    <t>АВТОМОБИЛЬНЫЙ СПРАВОЧНИК-ЭНЦИКЛОПЕДИЯ, ИЗД.2</t>
  </si>
  <si>
    <t>Кузьмин Н. А., Песков В. И.</t>
  </si>
  <si>
    <t>Форум</t>
  </si>
  <si>
    <t>978-5-91134-535-8</t>
  </si>
  <si>
    <t>Транспорт</t>
  </si>
  <si>
    <t>23.04.01, 23.04.02, 23.04.03, 23.05.01, 23.06.01</t>
  </si>
  <si>
    <t>Нижегородский государственный технический университет им. Р.А. Алексеева</t>
  </si>
  <si>
    <t>0215</t>
  </si>
  <si>
    <t>632561.05.01</t>
  </si>
  <si>
    <t>Аграрное законодательство зарубежных стран и России: Моногр. / Е.Л.Минина-М.:НИЦ ИНФРА-М, 2024-320с.</t>
  </si>
  <si>
    <t>АГРАРНОЕ ЗАКОНОДАТЕЛЬСТВО ЗАРУБЕЖНЫХ СТРАН И РОССИИ</t>
  </si>
  <si>
    <t>Гаврилюк О.В., Гайдаенко-Шер И.Н., Меркулова Т.А. и др.</t>
  </si>
  <si>
    <t>ИЗиСП</t>
  </si>
  <si>
    <t>978-5-16-011997-7</t>
  </si>
  <si>
    <t>38.03.04, 40.03.01</t>
  </si>
  <si>
    <t>0116</t>
  </si>
  <si>
    <t>668717.04.01</t>
  </si>
  <si>
    <t>Аграрные программы росс. полит. партий в нач. ХХ в.: Моногр. / С.А.Сафронов - М.:НИЦ ИНФРА-М, СФУ,2022.-252 с.(О)</t>
  </si>
  <si>
    <t>АГРАРНЫЕ ПРОГРАММЫ РОССИЙСКИХ ПОЛИТИЧЕСКИХ ПАРТИЙ В НАЧАЛЕ ХХ В.</t>
  </si>
  <si>
    <t>Сафронов С.А.</t>
  </si>
  <si>
    <t>Научная мысль (СФУ)</t>
  </si>
  <si>
    <t>978-5-16-017225-5</t>
  </si>
  <si>
    <t>Сибирский федеральный университет</t>
  </si>
  <si>
    <t>694928.02.01</t>
  </si>
  <si>
    <t>Аграрный сектор рос. экономики в условиях... : Моногр. / М.М.Махмудова - М.:НИЦ ИНФРА-М,2022 - 133с.(О)</t>
  </si>
  <si>
    <t>АГРАРНЫЙ СЕКТОР РОССИЙСКОЙ ЭКОНОМИКИ В УСЛОВИЯХ МАКРОЭКОНОМИЧЕСКОЙ НЕСТАБИЛЬНОСТИ</t>
  </si>
  <si>
    <t>Махмудова М.М., Королева А.М.</t>
  </si>
  <si>
    <t>Научная мысль (Тюм. индустр. ун-т)</t>
  </si>
  <si>
    <t>978-5-16-014797-0</t>
  </si>
  <si>
    <t>35.03.04, 35.03.05, 35.03.07, 35.04.04, 35.04.05</t>
  </si>
  <si>
    <t>Тюменский индустриальный университет</t>
  </si>
  <si>
    <t>279500.10.01</t>
  </si>
  <si>
    <t>Адаптация персонала  в российских организациях..: Моногр. /А.Н.Прошина-М.: НИЦ ИНФРА-М,2024-124с.(о)</t>
  </si>
  <si>
    <t>АДАПТАЦИЯ ПЕРСОНАЛА В РОССИЙСКИХ ОРГАНИЗАЦИЯХ:СОЦИАЛЬНО-УПРАВЛЕНЧЕСКИЙ АНАЛИЗ(НА ПРИМЕРЕ РАБОТНИКОВ С ОГРАНИЧЕННЫМИ ВОЗМОЖНОСТЯМИ)</t>
  </si>
  <si>
    <t>Прошина А.Н.</t>
  </si>
  <si>
    <t>978-5-16-009821-0</t>
  </si>
  <si>
    <t>38.03.01, 38.03.03, 38.04.03, 41.03.06, 44.03.01</t>
  </si>
  <si>
    <t>Российская академия народного хозяйства и государственной службы при Президенте РФ</t>
  </si>
  <si>
    <t>653021.02.01</t>
  </si>
  <si>
    <t>Адаптивное возд. на организм льняных тканей.: Моногр. / Н.В.Якутина-М.:ИЦ РИОР,НИЦ ИНФРА-М,2023-122с.(о)</t>
  </si>
  <si>
    <t>АДАПТИВНОЕ ВОЗДЕЙСТВИЕ НА ОРГАНИЗМ ЛЬНЯНЫХ ТКАНЕЙ</t>
  </si>
  <si>
    <t>Якутина Н.В.</t>
  </si>
  <si>
    <t>978-5-369-01667-1</t>
  </si>
  <si>
    <t>22.04.01, 29.03.01, 29.03.05, 38.03.07</t>
  </si>
  <si>
    <t>Российский государственный университет им. А.Н. Косыгина</t>
  </si>
  <si>
    <t>0117</t>
  </si>
  <si>
    <t>335300.05.01</t>
  </si>
  <si>
    <t>Адаптивные организационные структуры управления..: Моногр. /Л.Э.Комаева -М.:НИЦ ИНФРА-М,2024-200с.(О)</t>
  </si>
  <si>
    <t>АДАПТИВНЫЕ ОРГАНИЗАЦИОННЫЕ СТРУКТУРЫ УПРАВЛЕНИЯ ПРЕДПРИЯТИЯМИ В НЕСТАБИЛЬНОЙ СРЕДЕ ХОЗЯЙСТВОВАНИЯ</t>
  </si>
  <si>
    <t>Л.Э.Комаева, М.Р.Дзагоева, З.Л.Дзакоев</t>
  </si>
  <si>
    <t>978-5-16-010670-0</t>
  </si>
  <si>
    <t>38.03.01, 38.03.02, 38.03.04, 38.04.01, 38.04.02, 38.04.04, 38.06.01</t>
  </si>
  <si>
    <t>Владикавказский институт управления</t>
  </si>
  <si>
    <t>0115</t>
  </si>
  <si>
    <t>672155.04.01</t>
  </si>
  <si>
    <t>Адаптивные системы упр. с идентифик.: Моногр. / А.И.Рубан - М:НИЦ ИНФРА-М,СФУ,2025 - 1 39 с.(Науч.мысль)(О)</t>
  </si>
  <si>
    <t>АДАПТИВНЫЕ СИСТЕМЫ УПРАВЛЕНИЯ С ИДЕНТИФИКАЦИЕЙ</t>
  </si>
  <si>
    <t>Рубан А.И.</t>
  </si>
  <si>
    <t>978-5-16-018646-7</t>
  </si>
  <si>
    <t>Информатика. Вычислительная техника</t>
  </si>
  <si>
    <t>27.04.03</t>
  </si>
  <si>
    <t>824461.01.01</t>
  </si>
  <si>
    <t>Административная ответ. за правонаруш. в области...: Моногр./Н.Т.Джафарова-М.:НИЦ ИНФРА-М,2024-142с.(Науч.мысль)(о)</t>
  </si>
  <si>
    <t>АДМИНИСТРАТИВНАЯ ОТВЕТСТВЕННОСТЬ ЗА ПРАВОНАРУШЕНИЯ В ОБЛАСТИ ОБОРОТА ИНФОРМАЦИИ</t>
  </si>
  <si>
    <t>Джафарова Н.Т.</t>
  </si>
  <si>
    <t>978-5-16-019801-9</t>
  </si>
  <si>
    <t>40.04.01, 40.05.01, 40.05.02, 40.05.03, 40.05.04, 40.06.01</t>
  </si>
  <si>
    <t>Московский университет Министерства внутренних дел Российской Федерации им. В.Я. Кикотя</t>
  </si>
  <si>
    <t>708072.05.01</t>
  </si>
  <si>
    <t>Административная ответств. в ряде стран Европы: Моногр. / Е.В.Зенькович-М.:Юр.Норма, НИЦ ИНФРА-М,2023-128 с.(П)</t>
  </si>
  <si>
    <t>АДМИНИСТРАТИВНАЯ ОТВЕТСТВЕННОСТЬ В РЯДЕ СТРАН ЕВРОПЫ: СРАВНИТЕЛЬНОЕ ИССЛЕДОВАНИЕ</t>
  </si>
  <si>
    <t>Зенькович Е.В.</t>
  </si>
  <si>
    <t>978-5-91768-657-8</t>
  </si>
  <si>
    <t>38.03.04, 40.03.01, 40.04.01, 40.05.02, 44.03.05, 46.03.02</t>
  </si>
  <si>
    <t>824556.02.01</t>
  </si>
  <si>
    <t>Административная ответств. за незаконный оборот наркотиков... / М.В.Куцкель - М.:НИЦ ИНФРА-М,2025 - 151 с.(о)</t>
  </si>
  <si>
    <t>АДМИНИСТРАТИВНАЯ ОТВЕТСТВЕННОСТЬ ЗА НЕЗАКОННЫЙ ОБОРОТ НАРКОТИКОВ И РОЛЬ ПОЛИЦИИ В ЕЕ ПРИМЕНЕНИИ</t>
  </si>
  <si>
    <t>Куцкель М.В., Цуканов Н.Н.</t>
  </si>
  <si>
    <t>978-5-16-019857-6</t>
  </si>
  <si>
    <t>Сибирский юридический институт Министерства внутренних дел Российской Федерации</t>
  </si>
  <si>
    <t>687306.02.01</t>
  </si>
  <si>
    <t>Административно-деликтный процесс: надзор и пересмотр.: Моногр./А.В.Новиков-М.:Юр.Норма, НИЦ ИНФРА-М,2019-160с(П)</t>
  </si>
  <si>
    <t>АДМИНИСТРАТИВНО-ДЕЛИКТНЫЙ ПРОЦЕСС: НАДЗОР И ПЕРЕСМОТР ПО НОВЫМ И ВНОВЬ ОТКРЫВШИМСЯ ОБСТОЯТЕЛЬСТВАМ</t>
  </si>
  <si>
    <t>Новиков А.В.</t>
  </si>
  <si>
    <t>978-5-91768-947-0</t>
  </si>
  <si>
    <t>38.03.04, 40.02.02, 40.02.04, 40.03.01, 40.04.01, 40.05.02, 44.03.05, 46.03.02</t>
  </si>
  <si>
    <t>657371.15.01</t>
  </si>
  <si>
    <t>Административное право и админ. ответств... / Б.В.Россинский - 3 изд. - М.:Юр.Норма, НИЦ ИНФРА-М,2025 - 376 с.(П)</t>
  </si>
  <si>
    <t>АДМИНИСТРАТИВНОЕ ПРАВО И АДМИНИСТРАТИВНАЯ ОТВЕТСТВЕННОСТЬ, ИЗД.3</t>
  </si>
  <si>
    <t>Россинский Б.В.</t>
  </si>
  <si>
    <t>978-5-00156-397-6</t>
  </si>
  <si>
    <t>Курс лекций</t>
  </si>
  <si>
    <t>Профессиональное образование / ВО - Бакалавриат</t>
  </si>
  <si>
    <t>38.03.04, 40.03.01, 40.04.01, 40.05.01, 40.05.02, 40.05.03, 40.05.04, 44.03.05, 46.03.02</t>
  </si>
  <si>
    <t>Московский государственный юридический университет им. О.Е. Кутафина</t>
  </si>
  <si>
    <t>0325</t>
  </si>
  <si>
    <t>657371.13.01</t>
  </si>
  <si>
    <t>Административное право и админ. ответств... / Б.В.Россинский-2 изд.-М.:Юр.Норма, НИЦ ИНФРА-М,2024-352 с.(П)</t>
  </si>
  <si>
    <t>АДМИНИСТРАТИВНОЕ ПРАВО И АДМИНИСТРАТИВНАЯ ОТВЕТСТВЕННОСТЬ, ИЗД.2</t>
  </si>
  <si>
    <t>978-5-00156-188-0</t>
  </si>
  <si>
    <t>0222</t>
  </si>
  <si>
    <t>657371.07.01</t>
  </si>
  <si>
    <t>Административное право и админ.ответ.: Курс лекций /Б.В.Россинский-М.:Юр.Норма,НИЦ ИНФРА-М,2021-352с(П)</t>
  </si>
  <si>
    <t>АДМИНИСТРАТИВНОЕ ПРАВО И АДМИНИСТРАТИВНАЯ ОТВЕТСТВЕННОСТЬ</t>
  </si>
  <si>
    <t>978-5-91768-842-8</t>
  </si>
  <si>
    <t>726673.06.01</t>
  </si>
  <si>
    <t>Административно-прав. аспекты гос. упр. в России...: Моногр. / Россинский Б.В. - М.:Юр.Норма,НИЦ ИНФРА-М,2025 - 168 с.(П)</t>
  </si>
  <si>
    <t>АДМИНИСТРАТИВНО-ПРАВОВЫЕ АСПЕКТЫ ГОСУДАРСТВЕННОГО УПРАВЛЕНИЯ В РОССИИ: СИСТЕМНЫЕ ПОДХОДЫ</t>
  </si>
  <si>
    <t>978-5-00156-042-5</t>
  </si>
  <si>
    <t>38.03.04, 38.04.04, 40.03.01, 40.04.01, 40.06.01</t>
  </si>
  <si>
    <t>740823.03.01</t>
  </si>
  <si>
    <t>Административно-прав. защита прав и законных интересов граждан / Ю.Г.Федотова - М.:НИЦ ИНФРА-М,2025. - 330 с.(О)</t>
  </si>
  <si>
    <t>АДМИНИСТРАТИВНО-ПРАВОВАЯ ЗАЩИТА ПРАВ И ЗАКОННЫХ ИНТЕРЕСОВ ГРАЖДАН В СФЕРЕ ОБЕСПЕЧЕНИЯ ОБОРОНЫ И БЕЗОПАСНОСТИ РОССИЙСКОЙ ФЕДЕРАЦИИ</t>
  </si>
  <si>
    <t>Федотова Ю.Г.</t>
  </si>
  <si>
    <t>978-5-16-016356-7</t>
  </si>
  <si>
    <t>40.03.01, 40.04.01, 40.05.01, 40.05.04, 40.06.01</t>
  </si>
  <si>
    <t>706543.03.01</t>
  </si>
  <si>
    <t>Административно-прав. обесп. безоп. дорожного движ. в РФ:Моногр./П.Молчанов-М.:Юр.Норма,2023-248с(П)</t>
  </si>
  <si>
    <t>АДМИНИСТРАТИВНО-ПРАВОВОЕ ОБЕСПЕЧЕНИЕ БЕЗОПАСНОСТИ ДОРОЖНОГО ДВИЖЕНИЯ В РФ</t>
  </si>
  <si>
    <t>Молчанов П.В.</t>
  </si>
  <si>
    <t>978-5-91768-642-4</t>
  </si>
  <si>
    <t>854258.01.01</t>
  </si>
  <si>
    <t>Административно-прав. статус иностр. граждан и лиц без гражд.../ В.А.Морозов - М.:НИЦ ИНФРА-М,2025. - 169 с.(о)</t>
  </si>
  <si>
    <t>АДМИНИСТРАТИВНО-ПРАВОВОЙ СТАТУС ИНОСТРАННЫХ ГРАЖДАН И ЛИЦ БЕЗ ГРАЖДАНСТВА, СОДЕРЖАЩИХСЯ В СПЕЦИАЛЬНЫХ УЧРЕЖДЕНИЯХ МВД РОССИИ</t>
  </si>
  <si>
    <t>Морозов В.А.</t>
  </si>
  <si>
    <t>978-5-16-020943-2</t>
  </si>
  <si>
    <t>Июнь, 2025</t>
  </si>
  <si>
    <t>849435.01.01</t>
  </si>
  <si>
    <t>Административно-правовой институт декларир.: Моногр. / Г.Н.Василенко - М.:НИЦ ИНФРА-М,2025. - 289 с.)(п)</t>
  </si>
  <si>
    <t>АДМИНИСТРАТИВНО-ПРАВОВОЙ ИНСТИТУТ ДЕКЛАРИРОВАНИЯ</t>
  </si>
  <si>
    <t>Василенко Г.Н.</t>
  </si>
  <si>
    <t>978-5-16-020724-7</t>
  </si>
  <si>
    <t>38.05.02, 38.06.01</t>
  </si>
  <si>
    <t>800682.01.01</t>
  </si>
  <si>
    <t>Административно-правовой статус врача...: Моногр. / А.С.Зайкова-М.:НИЦ ИНФРА-М,2023.-124 с..(о)</t>
  </si>
  <si>
    <t>АДМИНИСТРАТИВНО-ПРАВОВОЙ СТАТУС ВРАЧА: ОСНОВНЫЕ НАПРАВЛЕНИЯ СОВЕРШЕНСТВОВАНИЯ</t>
  </si>
  <si>
    <t>Зайкова А.С.</t>
  </si>
  <si>
    <t>978-5-16-018419-7</t>
  </si>
  <si>
    <t>31.05.01, 31.06.01, 40.03.01, 40.04.01, 40.06.01</t>
  </si>
  <si>
    <t>648401.11.01</t>
  </si>
  <si>
    <t>Административные процедуры: Моногр. / Л.Л.Попов - М.:Юр.Норма, НИЦ ИНФРА-М,2025. - 240 с.(П)</t>
  </si>
  <si>
    <t>АДМИНИСТРАТИВНЫЕ ПРОЦЕДУРЫ</t>
  </si>
  <si>
    <t>Попов Л.Л.</t>
  </si>
  <si>
    <t>978-5-91768-806-0</t>
  </si>
  <si>
    <t>38.03.04, 40.03.01, 44.03.05, 46.03.02</t>
  </si>
  <si>
    <t>265800.07.01</t>
  </si>
  <si>
    <t>Адсорбенты и носители катализаторов..: моногр. / В.С.Комаров - М.:НИЦ ИНФРА-М ,2024 - 203 с.-(о)</t>
  </si>
  <si>
    <t>АДСОРБЕНТЫ И НОСИТЕЛИ КАТАЛИЗАТОРОВ. НАУЧНЫЕ ОСНОВЫ РЕГУЛИРОВАНИЯ ПОРИСТОЙ СТРУКТУРЫ</t>
  </si>
  <si>
    <t>Комаров В.С., Бесараб С.В.</t>
  </si>
  <si>
    <t>978-5-16-009581-3</t>
  </si>
  <si>
    <t>Химические науки</t>
  </si>
  <si>
    <t>04.03.01, 04.03.02, 18.03.01, 18.03.02</t>
  </si>
  <si>
    <t>Национальная академия наук Беларуси</t>
  </si>
  <si>
    <t>672225.03.01</t>
  </si>
  <si>
    <t>Адсорбция бактерий почвой и её эпидемиол. знач.: Моногр. / В.Н.Кисленко-М.:НИЦ ИНФРА-М,2023-156с(П)</t>
  </si>
  <si>
    <t>АДСОРБЦИЯ БАКТЕРИЙ ПОЧВОЙ И ЕЁ ЭПИДЕМИОЛОГИЧЕСКОЕ ЗНАЧЕНИЕ</t>
  </si>
  <si>
    <t>Кисленко В.Н.</t>
  </si>
  <si>
    <t>978-5-16-013499-4</t>
  </si>
  <si>
    <t>Сельское хозяйство</t>
  </si>
  <si>
    <t>06.03.01, 06.04.01, 19.03.01, 35.03.03, 35.03.04, 36.03.01</t>
  </si>
  <si>
    <t>Новосибирский государственный аграрный университет</t>
  </si>
  <si>
    <t>641499.09.01</t>
  </si>
  <si>
    <t>Аксиологические основы воспитания нрав..: Моногр. / С.В.Яковлев - 2 изд. - М.:НИЦ ИНФРА-М,2025 - 170 с.(о)</t>
  </si>
  <si>
    <t>АКСИОЛОГИЧЕСКИЕ ОСНОВЫ ВОСПИТАНИЯ НРАВСТВЕННОЙ КУЛЬТУРЫ ЛИЧНОСТИ В СИСТЕМЕ ОБЩЕГО ОБРАЗОВАНИЯ, ИЗД.2</t>
  </si>
  <si>
    <t>Яковлев С.В.</t>
  </si>
  <si>
    <t>978-5-16-019991-7</t>
  </si>
  <si>
    <t>44.03.01, 44.03.04, 44.03.05</t>
  </si>
  <si>
    <t>Московский педагогический государственный университет</t>
  </si>
  <si>
    <t>Май, 2025</t>
  </si>
  <si>
    <t>641499.08.01</t>
  </si>
  <si>
    <t>Аксиологические основы воспитания нрав..: Моногр. / С.В.Яковлев - М.:НИЦ ИНФРА-М,2024 - 137 с(Науч.мысль)</t>
  </si>
  <si>
    <t>АКСИОЛОГИЧЕСКИЕ ОСНОВЫ ВОСПИТАНИЯ НРАВСТВЕННОЙ КУЛЬТУРЫ ЛИЧНОСТИ В СИСТЕМЕ ОБЩЕГО ОБРАЗОВАНИЯ</t>
  </si>
  <si>
    <t>978-5-16-012340-0</t>
  </si>
  <si>
    <t>801902.01.01</t>
  </si>
  <si>
    <t>Акторы и субъекты международ. экон. отнош.на соврем.этапе...Ч.2: Моногр./В.Л.Абрамов и др.-М.:НИЦ ИНФРА-М,2024-234с.(о)</t>
  </si>
  <si>
    <t>АКТОРЫ И СУБЪЕКТЫ МЕЖДУНАРОДНЫХ ЭКОНОМИЧЕСКИХ ОТНОШЕНИЙ НА СОВРЕМЕННОМ ЭТАПЕ РАЗВИТИЯ МИРОВОГО СООБЩЕСТВА</t>
  </si>
  <si>
    <t>Перская В.В., Ткаченко А.А., Кузнецов А.В. и др.</t>
  </si>
  <si>
    <t>978-5-16-019095-2</t>
  </si>
  <si>
    <t>38.04.01, 38.04.02, 38.05.01, 38.06.01</t>
  </si>
  <si>
    <t>818391.01.01</t>
  </si>
  <si>
    <t>Актуальные воп. и перспективы образоват. процесса.../ И.Н.Айнутдинова-М.:НИЦ ИНФРА-М,2024.-176 с.(п)</t>
  </si>
  <si>
    <t>АКТУАЛЬНЫЕ ВОПРОСЫ И ПЕРСПЕКТИВЫ ОБРАЗОВАТЕЛЬНОГО ПРОЦЕССА В ВЫСШЕЙ ШКОЛЕ</t>
  </si>
  <si>
    <t>Айнутдинова И.Н., Айнутдинова К.А., Гали Г.Ф. и др.</t>
  </si>
  <si>
    <t>978-5-16-019787-6</t>
  </si>
  <si>
    <t>44.04.01, 44.06.01</t>
  </si>
  <si>
    <t>Казанский (Приволжский) федеральный университет</t>
  </si>
  <si>
    <t>656481.07.01</t>
  </si>
  <si>
    <t>Актуальные вопр. защиты информации: Моногр. / Е.К.Баранова - 2 изд. - М.:ИЦ РИОР, НИЦ ИНФРА-М,2025. - 216 с.(о)</t>
  </si>
  <si>
    <t>АКТУАЛЬНЫЕ ВОПРОСЫ ЗАЩИТЫ ИНФОРМАЦИИ, ИЗД.2</t>
  </si>
  <si>
    <t>Баранова Е.К., Бабаш А.В.</t>
  </si>
  <si>
    <t>978-5-369-01972-6</t>
  </si>
  <si>
    <t>09.03.01, 10.03.01, 10.04.01, 10.05.01, 10.05.02, 10.05.03, 10.05.04, 10.05.05, 10.05.07, 27.03.02, 27.04.03, 46.03.02</t>
  </si>
  <si>
    <t>Национальный исследовательский университет "Высшая школа экономики"</t>
  </si>
  <si>
    <t>Январь, 2025</t>
  </si>
  <si>
    <t>700725.04.01</t>
  </si>
  <si>
    <t>Актуальные вопросы аэротехногенной безоп.: Моногр. / Н.Н.Крупина - М.:НИЦ ИНФРА-М,2026. - 188 с.(О)</t>
  </si>
  <si>
    <t>АКТУАЛЬНЫЕ ВОПРОСЫ АЭРОТЕХНОГЕННОЙ БЕЗОПАСНОСТИ ПРОМЗОН: ФАКТОР ОЗЕЛЕНЕНИЯ</t>
  </si>
  <si>
    <t>Крупина Н.Н., Киприянова Е.Н.</t>
  </si>
  <si>
    <t>978-5-16-014826-7</t>
  </si>
  <si>
    <t>05.04.06, 05.06.01, 20.04.01, 20.04.02, 20.06.01</t>
  </si>
  <si>
    <t>Санкт-Петербургский государственный аграрный университет</t>
  </si>
  <si>
    <t>656481.06.01</t>
  </si>
  <si>
    <t>Актуальные вопросы защиты информации: Моногр. / Е.К.Баранова-М.:ИЦ РИОР, НИЦ ИНФРА-М,2023-111с.(О)</t>
  </si>
  <si>
    <t>АКТУАЛЬНЫЕ ВОПРОСЫ ЗАЩИТЫ ИНФОРМАЦИИ</t>
  </si>
  <si>
    <t>978-5-369-01680-0</t>
  </si>
  <si>
    <t>649112.07.01</t>
  </si>
  <si>
    <t>Актуальные каналы соц. личности...: Моногр. / Под ред. Сергеева В.П. - 2 изд. - М.:НИЦ ИНФРА-М,2026 - 131 с.(О)</t>
  </si>
  <si>
    <t>АКТУАЛЬНЫЕ КАНАЛЫ СОЦИАЛИЗАЦИИ ЛИЧНОСТИ: ОТ ТЕОРИИ К ТЕХНОЛОГИЯМ, ИЗД.2</t>
  </si>
  <si>
    <t>Сергеева В.П., Подымова Л.С., Алисов Е.А. и др.</t>
  </si>
  <si>
    <t>978-5-16-014154-1</t>
  </si>
  <si>
    <t>44.03.01, 44.03.02, 44.03.03, 44.03.05, 44.04.01, 44.04.02</t>
  </si>
  <si>
    <t>Московский городской педагогический университет</t>
  </si>
  <si>
    <t>0217</t>
  </si>
  <si>
    <t>750135.06.01</t>
  </si>
  <si>
    <t>Актуальные модели гос. и регионал. политики: Моногр. / Б.С.Павлов -  М.:НИЦ ИНФРА-М,2025 - 154 с.(О)</t>
  </si>
  <si>
    <t>АКТУАЛЬНЫЕ МОДЕЛИ ГОСУДАРСТВЕННОЙ И РЕГИОНАЛЬНОЙ ПОЛИТИКИ В СФЕРЕ ПАТРИОТИЧЕСКОГО ВОСПИТАНИЯ</t>
  </si>
  <si>
    <t>Павлов Б.С., Гогиберидзе Г.М., Пацула А.В.</t>
  </si>
  <si>
    <t>978-5-16-016870-8</t>
  </si>
  <si>
    <t>44.03.01, 44.03.02, 44.04.01, 44.04.02, 44.06.01</t>
  </si>
  <si>
    <t>Институт экономики Уральского отделения Российской академии наук</t>
  </si>
  <si>
    <t>727849.05.01</t>
  </si>
  <si>
    <t>Актуальные паразитарные и инфекционные болезни лошадей: Моногр. / К.П.Юров - М.:НИЦ ИНФРА-М,2025 - 286 с(О)</t>
  </si>
  <si>
    <t>АКТУАЛЬНЫЕ ПАРАЗИТАРНЫЕ И ИНФЕКЦИОННЫЕ БОЛЕЗНИ ЛОШАДЕЙ</t>
  </si>
  <si>
    <t>Юров К.П., Христиановский П.И., Белименко В.В.</t>
  </si>
  <si>
    <t>978-5-16-015991-1</t>
  </si>
  <si>
    <t>36.03.02, 36.04.01, 36.04.02, 36.05.01, 36.06.01</t>
  </si>
  <si>
    <t>Всероссийский научно-исследовательский институт экспериментальной ветеринарии им. К.И. Скрябина</t>
  </si>
  <si>
    <t>842001.01.01</t>
  </si>
  <si>
    <t>Актуальные пробл. административно-прав. регулир.: Моногр. / Адмиралова И.А. - М.:НИЦ ИНФРА-М,2025. - 169 с.(п)</t>
  </si>
  <si>
    <t>АКТУАЛЬНЫЕ ПРОБЛЕМЫ АДМИНИСТРАТИВНО-ПРАВОВОГО РЕГУЛИРОВАНИЯ</t>
  </si>
  <si>
    <t>Куракин А.В., Адмиралова И.А., Костенников М.В.</t>
  </si>
  <si>
    <t>978-5-16-020390-4</t>
  </si>
  <si>
    <t>38.05.01, 40.03.01, 40.05.01, 40.05.02, 40.06.01</t>
  </si>
  <si>
    <t>Всероссийский институт повышения квалификации сотрудников Министерства внутренних дел Российской Федерации</t>
  </si>
  <si>
    <t>Февраль, 2025</t>
  </si>
  <si>
    <t>081000.10.01</t>
  </si>
  <si>
    <t>Актуальные пробл. борьбы с коррупцией и орг. преступ... / П.А.Скобликов - М.:Юр. НОРМА, НИЦ ИНФРА-М,2026 - 272 с/(О)</t>
  </si>
  <si>
    <t>АКТУАЛЬНЫЕ ПРОБЛЕМЫ БОРЬБЫ С КОРРУПЦИЕЙ И ОРГАНИЗОВАННОЙ ПРЕСТУПНОСТЬЮ В СОВРЕМЕННОЙ РОССИИ</t>
  </si>
  <si>
    <t>Скобликов П. А.</t>
  </si>
  <si>
    <t>978-5-91768-884-8</t>
  </si>
  <si>
    <t>40.03.01, 40.04.01, 44.03.05</t>
  </si>
  <si>
    <t>Институт государства и права Российской академии наук</t>
  </si>
  <si>
    <t>0107</t>
  </si>
  <si>
    <t>419650.06.01</t>
  </si>
  <si>
    <t>Актуальные пробл. исслед. экономич..: Сб. ст. /В.Г.Клинов -М.:Магистр, НИЦ ИНФРА-М, 2024.-264 с.(О)</t>
  </si>
  <si>
    <t>АКТУАЛЬНЫЕ ПРОБЛЕМЫ ИССЛЕДОВАНИЯ ЭКОНОМИЧЕСКОЙ КОНЪЮНКТУРЫ</t>
  </si>
  <si>
    <t>Клинов В. Г.</t>
  </si>
  <si>
    <t>Магистр</t>
  </si>
  <si>
    <t>978-5-9776-0264-8</t>
  </si>
  <si>
    <t>38.03.01, 38.04.01</t>
  </si>
  <si>
    <t>Московский государственный институт международных отношений (университет) Министерства иностранных дел Российской Федерации</t>
  </si>
  <si>
    <t>818118.03.01</t>
  </si>
  <si>
    <t>Актуальные пробл. оператив.-розыск. деят. в XXI в. в РФ: Сб. / С.С.Галахов - М.:Юр. НОРМА,2026. - 304 с.(п)</t>
  </si>
  <si>
    <t>АКТУАЛЬНЫЕ ПРОБЛЕМЫ ОПЕРАТИВНО-РОЗЫСКНОЙ ДЕЯТЕЛЬНОСТИ В XXI В. В РОССИЙСКОЙ ФЕДЕРАЦИИ</t>
  </si>
  <si>
    <t>Галахов С.С.</t>
  </si>
  <si>
    <t>978-5-00156-345-7</t>
  </si>
  <si>
    <t>Сборник научных трудов</t>
  </si>
  <si>
    <t>40.03.01, 40.05.01, 40.05.02</t>
  </si>
  <si>
    <t>823925.01.01</t>
  </si>
  <si>
    <t>Актуальные пробл. принуждения и ответств. в админ.праве: Моногр. / И.А.Адмиралова-М.:НИЦ ИНФРА-М,2024-174с(о)</t>
  </si>
  <si>
    <t>АКТУАЛЬНЫЕ ПРОБЛЕМЫ ПРИНУЖДЕНИЯ И ОТВЕТСТВЕННОСТИ В АДМИНИСТРАТИВНОМ ПРАВЕ</t>
  </si>
  <si>
    <t>Адмиралова И.А., Костенников М.В., Куракин А.В.</t>
  </si>
  <si>
    <t>978-5-16-019785-2</t>
  </si>
  <si>
    <t>774768.06.01</t>
  </si>
  <si>
    <t>Актуальные пробл. развития сов. ист. науки...: Моногр. / А.Е.Смирницкий - М.:НИЦ ИНФРА-М,2025. - 157 с.(О)</t>
  </si>
  <si>
    <t>АКТУАЛЬНЫЕ ПРОБЛЕМЫ РАЗВИТИЯ СОВЕТСКОЙ ИСТОРИЧЕСКОЙ НАУКИ (1917-1991)</t>
  </si>
  <si>
    <t>Смирницкий А.Е.</t>
  </si>
  <si>
    <t>978-5-16-017606-2</t>
  </si>
  <si>
    <t>44.04.01, 46.04.01, 46.04.02, 46.06.01</t>
  </si>
  <si>
    <t>Нижегородский государственный педагогический университет им. К. Минина</t>
  </si>
  <si>
    <t>0199</t>
  </si>
  <si>
    <t>314000.08.01</t>
  </si>
  <si>
    <t>Актуальные проблемы защиты неимущ. прав детей..: Сб. / А.Е.Тарасова и др. - М.:НИЦ ИНФРА-М,2023 - 232 с(О)</t>
  </si>
  <si>
    <t>АКТУАЛЬНЫЕ ПРОБЛЕМЫ ЗАЩИТЫ НЕИМУЩЕСТВЕННЫХ ПРАВ ДЕТЕЙ (МАТЕРИАЛЬНЫЕ И ПРОЦЕССУАЛЬНЫЕ АСПЕКТЫ)</t>
  </si>
  <si>
    <t>Тарасова А.Е., Зубарева О.Г., Шершень Т.В. и др.</t>
  </si>
  <si>
    <t>978-5-16-011843-7</t>
  </si>
  <si>
    <t>40.04.01</t>
  </si>
  <si>
    <t>Южный федеральный университет</t>
  </si>
  <si>
    <t>834829.01.01</t>
  </si>
  <si>
    <t>Актуальные проблемы конституционного права...: моногр./ отв.ред. В.В. Комарова-М.:Юр. НОРМА, НИЦ ИНФРА-М,2025.-328 с.(п)</t>
  </si>
  <si>
    <t>АКТУАЛЬНЫЕ ПРОБЛЕМЫ КОНСТИТУЦИОННОГО ПРАВА: К 100-ЛЕТИЮ Е.И.КОЗЛОВОЙ</t>
  </si>
  <si>
    <t>Комарова В.В., Таева Н.Е., Дородонова Н.В. и др.</t>
  </si>
  <si>
    <t>978-5-00156-383-9</t>
  </si>
  <si>
    <t>Профессиональное образование / ВО - Кадры высшей квалификации</t>
  </si>
  <si>
    <t>40.05.01, 40.05.02, 40.05.03, 40.05.04, 40.06.01</t>
  </si>
  <si>
    <t>795908.01.01</t>
  </si>
  <si>
    <t>Актуальные проблемы предмета административного права: Моногр. / А.В.Куракин.-М.:НИЦ ИНФРА-М,2023.-204 с.(о)</t>
  </si>
  <si>
    <t>АКТУАЛЬНЫЕ ПРОБЛЕМЫ ПРЕДМЕТА АДМИНИСТРАТИВНОГО ПРАВА</t>
  </si>
  <si>
    <t>978-5-16-018113-4</t>
  </si>
  <si>
    <t>АКАДЕМУС-2022, Победитель, III место</t>
  </si>
  <si>
    <t>459150.06.01</t>
  </si>
  <si>
    <t>Актуальные проблемы совр. наслед. законодат. РФ: Моногр. / Е.А.Кириллова - М.:НИЦ ИНФРА-М,2023-123 с.(О)</t>
  </si>
  <si>
    <t>АКТУАЛЬНЫЕ ПРОБЛЕМЫ СОВРЕМЕННОГО НАСЛЕДСТВЕННОГО ЗАКОНОДАТЕЛЬСТВА РОССИЙСКОЙ ФЕДЕРАЦИИ</t>
  </si>
  <si>
    <t>Кириллова Е.А.</t>
  </si>
  <si>
    <t>978-5-16-009435-9</t>
  </si>
  <si>
    <t>323300.04.01</t>
  </si>
  <si>
    <t>Актуальные проблемы совр. российской теории права: Моногр. /В.М.Шамаров-М.:Альфа-М,2024.-192 с-(п)</t>
  </si>
  <si>
    <t>АКТУАЛЬНЫЕ ПРОБЛЕМЫ СОВРЕМЕННОЙ РОССИЙСКОЙ ТЕОРИИ ПРАВА</t>
  </si>
  <si>
    <t>Шамаров В. М.</t>
  </si>
  <si>
    <t>Альфа-М</t>
  </si>
  <si>
    <t>Ligitimitate legem et ordinem</t>
  </si>
  <si>
    <t>978-5-98281-420-3</t>
  </si>
  <si>
    <t>Институт деловой карьеры</t>
  </si>
  <si>
    <t>805474.01.01</t>
  </si>
  <si>
    <t>Актуальные проблемы судебного права: Моногр. / А.А.Максуров-М.:НИЦ ИНФРА-М,2024.-308 с.(Науч.мысль)(п)</t>
  </si>
  <si>
    <t>АКТУАЛЬНЫЕ ПРОБЛЕМЫ СУДЕБНОГО ПРАВА</t>
  </si>
  <si>
    <t>Максуров А.А.</t>
  </si>
  <si>
    <t>978-5-16-018741-9</t>
  </si>
  <si>
    <t>40.04.01, 40.05.04, 40.06.01</t>
  </si>
  <si>
    <t>Ярославский государственный университет им. П.Г. Демидова</t>
  </si>
  <si>
    <t>АКАДЕМУС-2023, Победитель, II место</t>
  </si>
  <si>
    <t>427750.07.01</t>
  </si>
  <si>
    <t>Актуальные проблемы теории и фил. права: Курс лекций / Ю.В.Сорокина -М.:Норма:НИЦ ИНФРА-М,2024-304с. (о)</t>
  </si>
  <si>
    <t>АКТУАЛЬНЫЕ ПРОБЛЕМЫ ТЕОРИИ И ФИЛОСОФИИ ПРАВА</t>
  </si>
  <si>
    <t>Сорокина Ю. В.</t>
  </si>
  <si>
    <t>978-5-91768-367-6</t>
  </si>
  <si>
    <t>38.04.09, 40.03.01, 40.04.01</t>
  </si>
  <si>
    <t>Воронежский государственный университет</t>
  </si>
  <si>
    <t>351100.06.01</t>
  </si>
  <si>
    <t>Актуальные проблемы унификации гражд.процес.и.../Рожкова М.А.-М:Моногр.-НИЦ ИНФРА-М,2023-304с</t>
  </si>
  <si>
    <t>АКТУАЛЬНЫЕ ПРОБЛЕМЫ УНИФИКАЦИИ ГРАЖДАНСКОГО ПРОЦЕССУАЛЬНОГО И АРБИТРАЖНОГО ПРОЦЕССУАЛЬНОГО ЗАКОНОДАТЕЛЬСТВА</t>
  </si>
  <si>
    <t>Рожкова М.А., Глазкова М.Е., Савина М.А. и др.</t>
  </si>
  <si>
    <t>978-5-16-010863-6</t>
  </si>
  <si>
    <t>40.02.04, 40.03.01, 40.06.01, 44.03.05</t>
  </si>
  <si>
    <t>388000.05.01</t>
  </si>
  <si>
    <t>Актуальные проблемы финансового права: Моногр. / Е.Ю.Грачева - М.:Юр.Норма,НИЦ ИНФРА-М,2024-208с.(П)</t>
  </si>
  <si>
    <t>АКТУАЛЬНЫЕ ПРОБЛЕМЫ ФИНАНСОВОГО ПРАВА</t>
  </si>
  <si>
    <t>Грачева Е.Ю.</t>
  </si>
  <si>
    <t>978-5-91768-733-9</t>
  </si>
  <si>
    <t>АКАДЕМУС-2017, Победитель</t>
  </si>
  <si>
    <t>358100.12.01</t>
  </si>
  <si>
    <t>Актуальные термины полит. лингвистики: Справ. / М.А.Семкин - М.:Форум,НИЦ ИНФРА-М,2023-112 с.(О)</t>
  </si>
  <si>
    <t>АКТУАЛЬНЫЕ ТЕРМИНЫ ПОЛИТИЧЕСКОЙ ЛИНГВИСТИКИ: СЛОВАРЬ СОВРЕМЕННЫХ МЕДИА</t>
  </si>
  <si>
    <t>Семкин М.А.</t>
  </si>
  <si>
    <t>978-5-00091-630-8</t>
  </si>
  <si>
    <t>Словарь</t>
  </si>
  <si>
    <t>41.03.04, 41.04.04, 42.03.01, 42.03.02, 42.03.03, 42.03.04, 42.03.05, 42.04.01, 42.04.02, 42.04.03, 42.04.04, 42.04.05, 45.03.01, 45.04.01</t>
  </si>
  <si>
    <t>668774.03.01</t>
  </si>
  <si>
    <t>Алтайская лит. Портреты писателей...: Моногр. / Н.М.Киндикова - М.:НИЦ ИНФРА-М,2022-82с(Науч.мысль)(О)</t>
  </si>
  <si>
    <t>АЛТАЙСКАЯ ЛИТЕРАТУРА. ПОРТРЕТЫ ПИСАТЕЛЕЙ И ЛИТЕРАТУРОВЕДОВ.</t>
  </si>
  <si>
    <t>Киндикова Н.М.</t>
  </si>
  <si>
    <t>978-5-16-013387-4</t>
  </si>
  <si>
    <t>41.03.06, 42.03.02, 42.03.03, 42.03.04, 45.03.01</t>
  </si>
  <si>
    <t>Горно-Алтайский государственный университет</t>
  </si>
  <si>
    <t>759045.01.01</t>
  </si>
  <si>
    <t>Алтарные преграды храмов Центр. Рос...: Моногр. / Т.В.Лазарева-М.:НИЦ ИНФРА-М,2023.-244 с.(П)</t>
  </si>
  <si>
    <t>АЛТАРНЫЕ ПРЕГРАДЫ ХРАМОВ ЦЕНТРАЛЬНОЙ РОССИИ НОВОГО ВРЕМЕНИ (НА ПРИМЕРЕ ПРИОКСКОГО РЕГИОНА)</t>
  </si>
  <si>
    <t>Лазарева Т.В.</t>
  </si>
  <si>
    <t>978-5-16-018008-3</t>
  </si>
  <si>
    <t>07.04.01, 07.04.02, 07.06.01, 07.09.02</t>
  </si>
  <si>
    <t>Орловский государственный институт культуры</t>
  </si>
  <si>
    <t>638700.05.01</t>
  </si>
  <si>
    <t>Альтернативные механизмы разрешения споров.. / Н.И.Гайдаенко Шер-М.:НИЦ ИНФРА-М,2022-248с.(ИЗиСП)(П)</t>
  </si>
  <si>
    <t>АЛЬТЕРНАТИВНЫЕ МЕХАНИЗМЫ РАЗРЕШЕНИЯ СПОРОВ КАК ИНСТРУМЕНТ ФОРМИРОВАНИЯ БЛАГОПРИЯТНОЙ СРЕДЫ ДЛЯ ПРЕДПРИНИМАТЕЛЬСКОЙ ДЕЯТЕЛЬНОСТИ (ОПЫТ РОССИИ И ЗАРУБЕЖНЫХ СТРАН)</t>
  </si>
  <si>
    <t>Гайдаенко-Шер Н.И.</t>
  </si>
  <si>
    <t>978-5-16-012243-4</t>
  </si>
  <si>
    <t>40.03.01, 40.04.01, 40.05.01, 40.05.02, 40.05.03</t>
  </si>
  <si>
    <t>701903.02.01</t>
  </si>
  <si>
    <t>Альтернативные санкции в рос. праве: Моногр. / Липинский Д.А. - М.:ИЦ РИОР, НИЦ ИНФРА-М,2020-184с(О)</t>
  </si>
  <si>
    <t>АЛЬТЕРНАТИВНЫЕ САНКЦИИ В РОССИЙСКОМ ПРАВЕ</t>
  </si>
  <si>
    <t>Липинский Д.А., Мусаткина А.А., Чуклова Е.В.</t>
  </si>
  <si>
    <t>978-5-369-01803-3</t>
  </si>
  <si>
    <t>Тольяттинский государственный университет</t>
  </si>
  <si>
    <t>799192.02.01</t>
  </si>
  <si>
    <t>Альтернативные способы разреш. уголов.-правовых конфликтов / И.В.Килина - М.:НИЦ ИНФРА-М,2025. - 232 с(п)</t>
  </si>
  <si>
    <t>АЛЬТЕРНАТИВНЫЕ СПОСОБЫ РАЗРЕШЕНИЯ УГОЛОВНО-ПРАВОВЫХ КОНФЛИКТОВ</t>
  </si>
  <si>
    <t>Килина И.В.</t>
  </si>
  <si>
    <t>978-5-16-018374-9</t>
  </si>
  <si>
    <t>40.04.01, 40.05.02, 40.05.04, 40.06.01</t>
  </si>
  <si>
    <t>Пермский государственный национальный исследовательский университет</t>
  </si>
  <si>
    <t>758089.01.01</t>
  </si>
  <si>
    <t>Альтернативы: Моногр. / С.В.Борзых - М.:НИЦ ИНФРА-М,2021 - 370 с.(Науч.мысль)(О)</t>
  </si>
  <si>
    <t>АЛЬТЕРНАТИВЫ</t>
  </si>
  <si>
    <t>Борзых С.В.</t>
  </si>
  <si>
    <t>978-5-16-017003-9</t>
  </si>
  <si>
    <t>Томский государственный архитектурно-строительный университет</t>
  </si>
  <si>
    <t>632070.06.01</t>
  </si>
  <si>
    <t>Америка Синклера Льюиса: Моногр. / Б.А.Гиленсон, - 2 изд. - М.:НИЦ ИНФРА-М,2025. - 188 с.(Науч.мысль)(о)</t>
  </si>
  <si>
    <t>АМЕРИКА СИНКЛЕРА ЛЬЮИСА, ИЗД.2</t>
  </si>
  <si>
    <t>Гиленсон Б.А.</t>
  </si>
  <si>
    <t>978-5-16-020469-7</t>
  </si>
  <si>
    <t>41.03.06, 42.03.02, 42.03.03, 42.03.04, 45.03.01, 45.04.01</t>
  </si>
  <si>
    <t>688039.04.01</t>
  </si>
  <si>
    <t>Американская доктрина о превентивном ударе от Монро... / И.З.Фархутдинов - М.:НИЦ ИНФРА-М,2025-419 с.(П)</t>
  </si>
  <si>
    <t>АМЕРИКАНСКАЯ ДОКТРИНА О ПРЕВЕНТИВНОМ УДАРЕ ОТ МОНРО ДО ТРАМПА: МЕЖДУНАРОДНО-ПРАВОВЫЕ АСПЕКТЫ</t>
  </si>
  <si>
    <t>Фархутдинов И.З.</t>
  </si>
  <si>
    <t>978-5-16-014300-2</t>
  </si>
  <si>
    <t>41.04.04, 41.04.05, 41.06.01</t>
  </si>
  <si>
    <t>674977.05.01</t>
  </si>
  <si>
    <t>Амигдала в сис.регуляции репродуктив.функций организма..../ И.И.Садртдинова-М.:НИЦ ИНФРА-М,2025-148с(о)</t>
  </si>
  <si>
    <t>АМИГДАЛА В СИСТЕМЕ РЕГУЛЯЦИИ РЕПРОДУКТИВНЫХ ФУНКЦИЙ ОРГАНИЗМА ПРИ АБСАНСНОЙ ЭПИЛЕПСИИ</t>
  </si>
  <si>
    <t>Садртдинова И.И., Хисматуллина З.Р.</t>
  </si>
  <si>
    <t>978-5-16-013527-4</t>
  </si>
  <si>
    <t>Медицина. Фармакология</t>
  </si>
  <si>
    <t>31.05.01</t>
  </si>
  <si>
    <t>789493.01.01</t>
  </si>
  <si>
    <t>Амнистия. Помилование. Судимость: Моногр. / А.Я.Гришко, - 2 изд.-М.:НИЦ ИНФРА-М,2023.-187 с.(п)</t>
  </si>
  <si>
    <t>АМНИСТИЯ. ПОМИЛОВАНИЕ. СУДИМОСТЬ, ИЗД.2</t>
  </si>
  <si>
    <t>Гришко А.Я.</t>
  </si>
  <si>
    <t>978-5-16-018007-6</t>
  </si>
  <si>
    <t>Рязанский государственный университет им. С.А. Есенина</t>
  </si>
  <si>
    <t>0223</t>
  </si>
  <si>
    <t>473850.05.01</t>
  </si>
  <si>
    <t>Амортизация основных средств: вопросы теории...: Моногр. / Ю.И.Сигидов - М.: НИЦ ИНФРА-М, 2022-175с.(О)</t>
  </si>
  <si>
    <t>АМОРТИЗАЦИЯ ОСНОВНЫХ СРЕДСТВ: ВОПРОСЫ ТЕОРИИ И МЕТОДИКИ УЧЕТА</t>
  </si>
  <si>
    <t>Сигидов Ю.И., Мороз Н.Ю.</t>
  </si>
  <si>
    <t>978-5-16-010141-5</t>
  </si>
  <si>
    <t>38.03.01, 38.03.02, 38.04.01, 38.04.02, 38.04.08</t>
  </si>
  <si>
    <t>Кубанский государственный аграрный университет им. И.Т. Трубилина</t>
  </si>
  <si>
    <t>343000.04.01</t>
  </si>
  <si>
    <t>Анализ международного опыта развития футбола...: Моногр. / А.И.Воробьев-М.:НИЦ ИНФРА-М,2023-140с.(П)</t>
  </si>
  <si>
    <t>АНАЛИЗ МЕЖДУНАРОДНОГО ОПЫТА РАЗВИТИЯ ФУТБОЛА И ЕГО ПРИМЕНЕНИЕ В РОССИИ С УЧЕТОМ ПОДГОТОВКИ К ЧЕМПИОНАТУ МИРА ПО ФУТБОЛУ ФИФА 2018</t>
  </si>
  <si>
    <t>Воробьев А.И., Солнцев И.В., Осокин Н.А.</t>
  </si>
  <si>
    <t>978-5-16-011861-1</t>
  </si>
  <si>
    <t>ДОМ, БЫТ, ДОСУГ</t>
  </si>
  <si>
    <t>Спорт. Самооборона</t>
  </si>
  <si>
    <t>49.03.01</t>
  </si>
  <si>
    <t>700540.02.01</t>
  </si>
  <si>
    <t>Анализ плоидометрических и морфометрич. параметров...: Моногр./ А.Ю.Долгатов -М.:ИНФРА-М, 2023-147с(О)</t>
  </si>
  <si>
    <t>АНАЛИЗ ПЛОИДОМЕТРИЧЕСКИХ И МОРФОМЕТРИЧЕСКИХ ПАРАМЕТРОВ ПОЧЕЧНО-КЛЕТОЧНОГО РАКА: КЛИНИКО-МОРФОЛОГИЧЕСКИЕ СОПОСТАВЛЕНИЯ</t>
  </si>
  <si>
    <t>Долгатов А.Ю., Климачев В.В., Черданцева Т.М. и др.</t>
  </si>
  <si>
    <t>Научная мысль - АГМУ (65 лет)</t>
  </si>
  <si>
    <t>978-5-16-014804-5</t>
  </si>
  <si>
    <t>Алтайский государственный медицинский университет</t>
  </si>
  <si>
    <t>795740.01.01</t>
  </si>
  <si>
    <t>Анализ полицейских практик в сфере противодействия...: Моногр. / Э.Н.Лыков-М.:НИЦ ИНФРА-М,2023.-167 с.(о)</t>
  </si>
  <si>
    <t>АНАЛИЗ ПОЛИЦЕЙСКИХ ПРАКТИК В СФЕРЕ ПРОТИВОДЕЙСТВИЯ ПРЕСТУПНОСТИ</t>
  </si>
  <si>
    <t>Лыков Э.Н., Липич Т.И.</t>
  </si>
  <si>
    <t>Научная мысль (РГГУ)</t>
  </si>
  <si>
    <t>978-5-16-018147-9</t>
  </si>
  <si>
    <t>Российский государственный гуманитарный университет, ф-л в г.Домодедово</t>
  </si>
  <si>
    <t>747085.07.01</t>
  </si>
  <si>
    <t>Анализ правового регулир. и судеб. прак. разреш. споров... / В.А.Дергунова - М.:НИЦ ИНФРА-М,2026 - 365 с.(П)</t>
  </si>
  <si>
    <t>АНАЛИЗ ПРАВОВОГО РЕГУЛИРОВАНИЯ И СУДЕБНОЙ ПРАКТИКИ РАЗРЕШЕНИЯ СПОРОВ РОДИТЕЛЕЙ О ДЕТЯХ</t>
  </si>
  <si>
    <t>Дергунова В.А., Прокопова А.Д.</t>
  </si>
  <si>
    <t>978-5-16-016703-9</t>
  </si>
  <si>
    <t>806325.01.01</t>
  </si>
  <si>
    <t>Анализ рисков в процессах обеспеч. информац. безопас. / А.В.Царегородцев.-М.:НИЦ ИНФРА-М,2024.-198 с(о)</t>
  </si>
  <si>
    <t>АНАЛИЗ РИСКОВ В ПРОЦЕССАХ ОБЕСПЕЧЕНИЯ ИНФОРМАЦИОННОЙ БЕЗОПАСНОСТИ ЖИЗНЕННОГО ЦИКЛА ФИНАНСОВЫХ АВТОМАТИЗИРОВАННЫХ ИНФОРМАЦИОННЫХ СИСТЕМ</t>
  </si>
  <si>
    <t>Царегородцев А.В., Романовский С.В., Волков С.Д.</t>
  </si>
  <si>
    <t>978-5-16-018719-8</t>
  </si>
  <si>
    <t>09.03.03, 09.04.01, 09.06.01, 10.03.01, 10.05.02, 10.06.01, 38.03.05, 38.05.01</t>
  </si>
  <si>
    <t>АКАДЕМУС-2023, Победитель, III место</t>
  </si>
  <si>
    <t>322100.05.01</t>
  </si>
  <si>
    <t>Анализ теории личности в российской социологии: история..: Моногр./К.К.Оганян - М:ИНФРА-М,2019-360с.</t>
  </si>
  <si>
    <t>АНАЛИЗ ТЕОРИИ ЛИЧНОСТИ В РОССИЙСКОЙ СОЦИОЛОГИИ: ИСТОРИЯ И СОВРЕМЕННОСТЬ</t>
  </si>
  <si>
    <t>Оганян К.К.</t>
  </si>
  <si>
    <t>978-5-16-010479-9</t>
  </si>
  <si>
    <t>39.03.01, 39.04.01, 44.03.01, 44.03.05</t>
  </si>
  <si>
    <t>Национальный государственный Университет физической культуры, спорта и здоровья им. П.Ф. Лесгафта</t>
  </si>
  <si>
    <t>087400.13.01</t>
  </si>
  <si>
    <t>Анализ эффектив. и рисков предпр. деят..: Моногр./ Г.В.Савицкая, - 2 изд. - М:НИЦ ИНФРА-М,2026 - 291с.(п)</t>
  </si>
  <si>
    <t>АНАЛИЗ ЭФФЕКТИВНОСТИ И РИСКОВ ПРЕДПРИНИМАТЕЛЬСКОЙ ДЕЯТЕЛЬНОСТИ: МЕТОДОЛОГИЧЕСКИЕ АСПЕКТЫ:, ИЗД.2</t>
  </si>
  <si>
    <t>Савицкая Г. В.</t>
  </si>
  <si>
    <t>978-5-16-012373-8</t>
  </si>
  <si>
    <t>38.03.01, 38.03.02, 38.03.05, 38.03.06, 38.04.01, 38.04.02, 38.04.05, 38.04.06</t>
  </si>
  <si>
    <t>800911.01.01</t>
  </si>
  <si>
    <t>Аналитика устойч. развития и оценка стейкхолд. рисков в нефин. отчетн. / Н.А.Казакова.-М.:НИЦ ИНФРА-М,2024.-217 с.(п)</t>
  </si>
  <si>
    <t>АНАЛИТИКА УСТОЙЧИВОГО РАЗВИТИЯ И ОЦЕНКА СТЕЙКХОЛДЕРСКИХ РИСКОВ В НЕФИНАНСОВОЙ ОТЧЕТНОСТИ</t>
  </si>
  <si>
    <t>Казакова Н.А., Когденко В.Г., Доан Т.Л.</t>
  </si>
  <si>
    <t>978-5-16-018902-4</t>
  </si>
  <si>
    <t>38.03.01, 38.04.01, 38.04.02, 38.04.04, 38.04.08, 38.05.01, 38.06.01</t>
  </si>
  <si>
    <t>275900.05.01</t>
  </si>
  <si>
    <t>Аналитика человеческого бытия: введение в опыт...:Моногр. /С.Е.Ячин -НИЦ ИНФРА-М, 2019-210с.(О)</t>
  </si>
  <si>
    <t>АНАЛИТИКА ЧЕЛОВЕЧЕСКОГО БЫТИЯ: ВВЕДЕНИЕ В ОПЫТ САМОПОЗНАНИЯ. СИСТЕМАТИЧЕСКИЙ ОЧЕРК</t>
  </si>
  <si>
    <t>Ячин С.Е.</t>
  </si>
  <si>
    <t>978-5-16-009719-0</t>
  </si>
  <si>
    <t>Дальневосточный федеральный университет</t>
  </si>
  <si>
    <t>457250.07.01</t>
  </si>
  <si>
    <t>Аналитическое моделир.финанс.сост.компании: Моногр. / Е.В.Негашев - М.:НИЦ ИНФРА-М,2022 - 186 с.(О)</t>
  </si>
  <si>
    <t>АНАЛИТИЧЕСКОЕ МОДЕЛИРОВАНИЕ ФИНАНСОВОГО СОСТОЯНИЯ КОМПАНИИ</t>
  </si>
  <si>
    <t>Негашев Е. В.</t>
  </si>
  <si>
    <t>978-5-16-009397-0</t>
  </si>
  <si>
    <t>38.03.01, 38.03.02, 38.04.01, 38.04.02, 38.04.08, 41.03.06</t>
  </si>
  <si>
    <t>231300.06.01</t>
  </si>
  <si>
    <t>Аналогия в налоговом праве: Моногр. / М.В.Юзвак - 2 изд. - М.:ИЦ РИОР,НИЦ ИНФРА-М,2025-138с.(Науч.мысль)(о)</t>
  </si>
  <si>
    <t>АНАЛОГИЯ В НАЛОГОВОМ ПРАВЕ, ИЗД.2</t>
  </si>
  <si>
    <t>Юзвак М.В., под ред. Щекина Д.М.</t>
  </si>
  <si>
    <t>978-5-369-01533-9</t>
  </si>
  <si>
    <t>Московский государственный университет им. М.В. Ломоносова, юридический факультет</t>
  </si>
  <si>
    <t>656383.05.01</t>
  </si>
  <si>
    <t>Английская номинативность и картина мира: Моногр. / А.А.Джиоева-М:НИЦ ИНФРА-М,2024-176с(Науч.мысль)</t>
  </si>
  <si>
    <t>АНГЛИЙСКАЯ НОМИНАТИВНОСТЬ И КАРТИНА МИРА</t>
  </si>
  <si>
    <t>Джиоева А.А.</t>
  </si>
  <si>
    <t>978-5-16-017031-2</t>
  </si>
  <si>
    <t>40.03.01, 44.03.01, 44.03.05, 45.03.01, 45.03.02, 45.03.03, 45.03.04</t>
  </si>
  <si>
    <t>Московский государственный университет им. М.В. Ломоносова, факультет политологии</t>
  </si>
  <si>
    <t>260400.14.01</t>
  </si>
  <si>
    <t>Английские заимствования в рус. и нем. языках в усл...: Моногр. / Ж.Багана - М.:НИЦ ИНФРА-М,2026 - 120 с.(О)</t>
  </si>
  <si>
    <t>АНГЛИЙСКИЕ ЗАИМСТВОВАНИЯ В РУССКОМ И НЕМЕЦКОМ ЯЗЫКАХ В УСЛОВИЯХ ГЛОБАЛИЗАЦИИ</t>
  </si>
  <si>
    <t>Багана Ж., Тарасова М. В.</t>
  </si>
  <si>
    <t>978-5-16-009504-2</t>
  </si>
  <si>
    <t>45.03.01, 45.03.02, 45.04.01, 45.04.02, 51.03.01, 51.04.01</t>
  </si>
  <si>
    <t>Белгородский государственный институт искусств и культуры</t>
  </si>
  <si>
    <t>241900.05.01</t>
  </si>
  <si>
    <t>Английские заимствования в террит. вариантах фр.яз.: Моногр. /Ж.Багана -НИЦ ИНФРА-М,2024-106(Науч.мысль)</t>
  </si>
  <si>
    <t>АНГЛИЙСКИЕ ЗАИМСТВОВАНИЯ В ТЕРРИТОРИАЛЬНЫХ ВАРИАНТАХ ФРАНЦУЗСКОГО ЯЗЫКА АФРИКИ</t>
  </si>
  <si>
    <t>Багана Ж., Хапилина Е.В., Блажевич Ю.С.</t>
  </si>
  <si>
    <t>978-5-16-009255-3</t>
  </si>
  <si>
    <t>45.03.01, 45.04.01</t>
  </si>
  <si>
    <t>795384.01.01</t>
  </si>
  <si>
    <t>Английские собств. имена: Т.1: Сл. / С.И.Гарагуля - М.:НИЦ ИНФРА-М,2026. - 1180 с.(п)</t>
  </si>
  <si>
    <t>АНГЛИЙСКИЕ СОБСТВЕННЫЕ ИМЕНА: БОЛЬШОЙ ЛИНГВОКУЛЬТУРОЛОГИЧЕСКИЙ СЛОВАРЬ, Т.1</t>
  </si>
  <si>
    <t>Гарагуля С.И.</t>
  </si>
  <si>
    <t>Библиотека словарей ИНФРА-М</t>
  </si>
  <si>
    <t>978-5-16-021043-8</t>
  </si>
  <si>
    <t>42.04.02, 44.04.01, 45.04.01, 45.04.02, 45.05.01, 51.03.01, 51.04.01</t>
  </si>
  <si>
    <t>Белгородский государственный технологический университет им. В.Г. Шухова</t>
  </si>
  <si>
    <t>Август, 2025</t>
  </si>
  <si>
    <t>0126</t>
  </si>
  <si>
    <t>859702.01.01</t>
  </si>
  <si>
    <t>Английские собственные имена...: Сл.: Т.2 / С.И.Гарагуля - М.:НИЦ ИНФРА-М,2026. - 875 с.(п)</t>
  </si>
  <si>
    <t>АНГЛИЙСКИЕ СОБСТВЕННЫЕ ИМЕНА: БОЛЬШОЙ ЛИНГВОКУЛЬТУРОЛОГИЧЕСКИЙ СЛОВАРЬ, Т.2</t>
  </si>
  <si>
    <t>978-5-16-021044-5</t>
  </si>
  <si>
    <t>Сентябрь, 2025</t>
  </si>
  <si>
    <t>826213.01.01</t>
  </si>
  <si>
    <t>Англо-рус. сл. по химии и химич. технологии: Сл. / С.О.Даминова - М.:НИЦ ИНФРА-М,2025. - 336 с.(п)</t>
  </si>
  <si>
    <t>АНГЛО-РУССКИЙ СЛОВАРЬ ПО ХИМИИ И ХИМИЧЕСКОЙ ТЕХНОЛОГИИ</t>
  </si>
  <si>
    <t>Даминова С.О.</t>
  </si>
  <si>
    <t>978-5-16-019862-0</t>
  </si>
  <si>
    <t>04.03.01, 04.03.02, 04.04.01, 04.04.02, 04.05.01, 04.06.01, 04.07.01, 18.03.01, 18.03.02, 18.04.01, 18.04.02, 18.05.01, 18.05.02</t>
  </si>
  <si>
    <t>Допущено Федеральным учебно-методическим объединением в системе высшего образования по укрупненной группе специальностей и направлений подготовки 04.00.00 Химия в качестве учебного пособия для обучающихся по основным образовательным программам высшего образования уровня бакалавриата и магистратуры по направлениям подготовки 04.04.01 и 04.04.02 «Химия, физика и механика материалов»</t>
  </si>
  <si>
    <t>Московский государственный университет им. М.В. Ломоносова</t>
  </si>
  <si>
    <t>415100.11.01</t>
  </si>
  <si>
    <t>Англо-рус. слов. идиом и устойчив. словосочетаний.. / К.А.Солодушкина - М.:НИЦ ИНФРА-М,2025 - 243 с.(П)</t>
  </si>
  <si>
    <t>АНГЛО-РУССКИЙ СЛОВАРЬ ИДИОМ И УСТОЙЧИВЫХ СЛОВОСОЧЕТАНИЙ В ЯЗЫКЕ СОВРЕМЕННОЙ ПРЕССЫ (ПО СОЦИАЛЬНО-ЭКОНОМИЧЕСКИМ И МЕЖДУНАРОДНЫМ ПРОБЛЕМАМ)</t>
  </si>
  <si>
    <t>Солодушкина К.А.</t>
  </si>
  <si>
    <t>Библиотека словарей "ИНФРА-М"</t>
  </si>
  <si>
    <t>978-5-16-005173-4</t>
  </si>
  <si>
    <t>38.04.01, 41.03.05, 41.04.05, 45.03.01, 45.03.02, 45.03.03</t>
  </si>
  <si>
    <t>Санкт-Петербургский государственный технологический институт (технический университет)</t>
  </si>
  <si>
    <t>640145.06.01</t>
  </si>
  <si>
    <t>Англо-русский толковый словарь хоккейных терминов / С.Е.Гинзбург - М.:НИЦ ИНФРА-М,2023 - 238 с.(П)</t>
  </si>
  <si>
    <t>АНГЛО-РУССКИЙ ТОЛКОВЫЙ СЛОВАРЬ ХОККЕЙНЫХ ТЕРМИНОВ</t>
  </si>
  <si>
    <t>Гинзбург С.Е.</t>
  </si>
  <si>
    <t>978-5-16-012449-0</t>
  </si>
  <si>
    <t>45.03.02, 45.04.02, 45.05.01, 49.03.01, 49.04.01</t>
  </si>
  <si>
    <t>Лингва сервис центр</t>
  </si>
  <si>
    <t>774740.02.01</t>
  </si>
  <si>
    <t>Англосаксы: фальсификация полит. ист.: Моногр. / П.Л.Карабущенко-М.:НИЦ ИНФРА-М,2024.-367 с.(П)</t>
  </si>
  <si>
    <t>АНГЛОСАКСЫ: ФАЛЬСИФИКАЦИЯ ПОЛИТИЧЕСКОЙ ИСТОРИИ (ОПЫТ ИСТОРИЧЕСКОЙ ГЕРМЕНЕВТИКИ)</t>
  </si>
  <si>
    <t>Карабущенко П.Л., Вартумян А.А.</t>
  </si>
  <si>
    <t>978-5-16-017814-1</t>
  </si>
  <si>
    <t>41.03.04, 41.03.05, 41.03.06, 46.04.01</t>
  </si>
  <si>
    <t>Астраханский государственный университет имени В.Н. Татищева</t>
  </si>
  <si>
    <t>259800.12.01</t>
  </si>
  <si>
    <t>Антикоррупционная экспертиза норм правов..: Моногр. /Е.Р.Россинская -М.: Юр.Норма, НИЦ ИНФРА-М, 2025-160с.(о)</t>
  </si>
  <si>
    <t>АНТИКОРРУПЦИОННАЯ ЭКСПЕРТИЗА НОРМАТИВНЫХ ПРАВОВЫХ АКТОВ И ИХ ПРОЕКТОВ: ПРОБЛЕМЫ ТЕОРИИ И ПРАКТИКИ</t>
  </si>
  <si>
    <t>Россинская Е. Р., Галяшина Е. И.</t>
  </si>
  <si>
    <t>978-5-91768-451-2</t>
  </si>
  <si>
    <t>40.03.01, 40.04.01</t>
  </si>
  <si>
    <t>371300.07.01</t>
  </si>
  <si>
    <t>Антикоррупционные стандарты Орг. эконом..: Моногр. /Под ред.Хабриевой Т.Я.-М.:НИЦ ИНФРА-М,2024-296с.(П)</t>
  </si>
  <si>
    <t>АНТИКОРРУПЦИОННЫЕ СТАНДАРТЫ ОРГАНИЗАЦИИ ЭКОНОМИЧЕСКОГО СОТРУДНИЧЕСТВА И РАЗВИТИЯ И ИХ РЕАЛИЗАЦИЯ В РОССИЙСКОЙ ФЕДЕРАЦИИ</t>
  </si>
  <si>
    <t>Хабриева Т.Я., Федоров А.В.</t>
  </si>
  <si>
    <t>978-5-16-011033-2</t>
  </si>
  <si>
    <t>38.03.04, 38.04.04, 40.03.01, 40.04.01, 40.05.01, 40.05.02, 44.03.05</t>
  </si>
  <si>
    <t>461450.08.01</t>
  </si>
  <si>
    <t>Антикризисная модель роста эконом.России..: Моногр. / В.И.Орехов - М.:НИЦ ИНФРА-М,2023-111(Науч.мысль)(о)</t>
  </si>
  <si>
    <t>АНТИКРИЗИСНАЯ МОДЕЛЬ РОСТА ЭКОНОМИКИ РОССИИ НА ОСНОВЕ ОБЕСПЕЧЕНИЯ ПОВЫШЕНИЯ ПРОИЗВОДИТЕЛЬНОСТИ ТРУДА</t>
  </si>
  <si>
    <t>Орехов В.И., Орехова Т.Р., Карагодина О.В.</t>
  </si>
  <si>
    <t>978-5-16-009552-3</t>
  </si>
  <si>
    <t>Российская академия естественных наук</t>
  </si>
  <si>
    <t>405450.11.01</t>
  </si>
  <si>
    <t>Антикризисное бизнес-регулир.: Моногр. / Под ред. Ряховской А.Н. - 2 изд. - М.:Магистр, НИЦ ИНФРА-М,2025. - 304 с.(П)</t>
  </si>
  <si>
    <t>АНТИКРИЗИСНОЕ БИЗНЕС-РЕГУЛИРОВАНИЕ, ИЗД.2</t>
  </si>
  <si>
    <t>Ряховская А. Н., Распопов В. М., Арсенова Е. В., Ряховская А. Н.</t>
  </si>
  <si>
    <t>978-5-9776-0499-4</t>
  </si>
  <si>
    <t>0219</t>
  </si>
  <si>
    <t>405450.06.01</t>
  </si>
  <si>
    <t>Антикризисное бизнес-регулир.: Моногр. /А.Н.Ряховская и др. -М.:Магистр, НИЦ ИНФРА-М, 2019-240с.(О)</t>
  </si>
  <si>
    <t>АНТИКРИЗИСНОЕ БИЗНЕС-РЕГУЛИРОВАНИЕ</t>
  </si>
  <si>
    <t>978-5-9776-0247-1</t>
  </si>
  <si>
    <t>379200.09.01</t>
  </si>
  <si>
    <t>Антикризисное упр. как основа формир..: Моногр. / А.Н.Ряховская - М.:НИЦ ИНФРА-М,2025 - 169 с.(Науч.мысль)</t>
  </si>
  <si>
    <t>АНТИКРИЗИСНОЕ УПРАВЛЕНИЕ КАК ОСНОВА ФОРМИРОВАНИЯ МЕХАНИЗМА УСТОЙЧИВОГО РАЗВИТИЯ БИЗНЕСА</t>
  </si>
  <si>
    <t>Алферов В.Н., Кован С.Е., Кочетков Е.П. и др.</t>
  </si>
  <si>
    <t>978-5-16-011137-7</t>
  </si>
  <si>
    <t>38.06.01</t>
  </si>
  <si>
    <t>698209.05.01</t>
  </si>
  <si>
    <t>Антиоксиданты растений и методы их определения: Моногр. / Н.А.Голубкина - М.:НИЦ ИНФРА-М,2023 - 181с(О)</t>
  </si>
  <si>
    <t>АНТИОКСИДАНТЫ РАСТЕНИЙ И МЕТОДЫ ИХ ОПРЕДЕЛЕНИЯ</t>
  </si>
  <si>
    <t>Голубкина Н.А., Кекина Е.Г., Молчанова А.В. и др.</t>
  </si>
  <si>
    <t>978-5-16-015666-8</t>
  </si>
  <si>
    <t>06.04.01, 19.03.01, 19.03.02, 19.04.01, 19.04.02</t>
  </si>
  <si>
    <t>Федеральный научный центр овощеводства</t>
  </si>
  <si>
    <t>767191.04.01</t>
  </si>
  <si>
    <t>Антироссийские санкции: оценка ущерба: Моногр. / С.В.Казанцев - М.:НИЦ ИНФРА-М,2025 - 201 с.(Науч.мысль)(О)</t>
  </si>
  <si>
    <t>АНТИРОССИЙСКИЕ САНКЦИИ: ОЦЕНКА УЩЕРБА</t>
  </si>
  <si>
    <t>Казанцев С.В.</t>
  </si>
  <si>
    <t>978-5-16-017323-8</t>
  </si>
  <si>
    <t>38.04.01, 38.05.01, 38.06.01</t>
  </si>
  <si>
    <t>Институт народнохозяйственного прогнозирования Российской академии наук</t>
  </si>
  <si>
    <t>АКАДЕМУС-2021, Победитель, II место</t>
  </si>
  <si>
    <t>463750.04.01</t>
  </si>
  <si>
    <t>Анти-СаМ: что "не так" в уч. П.Самуэльсона, Н.Мэнкью...: Моногр./Л.С.Гребнев-М:ИНФРА-М,2023-235с.(о)</t>
  </si>
  <si>
    <t>АНТИ-САМ: ЧТО "НЕ ТАК" В УЧЕБНИКАХ П. САМУЭЛЬСОНА, Н. МЭНКЬЮ...</t>
  </si>
  <si>
    <t>Гребнев Л.С.</t>
  </si>
  <si>
    <t>978-5-16-009630-8</t>
  </si>
  <si>
    <t>38.03.01, 38.03.03, 38.04.01, 38.04.08, 38.06.01</t>
  </si>
  <si>
    <t>259400.09.01</t>
  </si>
  <si>
    <t>Античные монеты и свинцовые тессеры..: Каталог/ Н.А.Фролова - М.:ИЦ РИОР, НИЦ ИНФРА-М,2025-178с.(Науч. мысль)(О)</t>
  </si>
  <si>
    <t>АНТИЧНЫЕ МОНЕТЫ И СВИНЦОВЫЕ ТЕССЕРЫ ХЕРСОНЕСА ТАВРИЧЕСКОГО В СОБРАНИИ ГОСУДАРСТВЕННОГО ИСТОРИЧЕСКОГО МУЗЕЯ</t>
  </si>
  <si>
    <t>Фролова Н. А., Абрамзон М. Г., Кошеленко Г. А.</t>
  </si>
  <si>
    <t>978-5-369-01415-8</t>
  </si>
  <si>
    <t>Каталог</t>
  </si>
  <si>
    <t>44.03.01, 44.03.05, 46.03.01, 46.04.01</t>
  </si>
  <si>
    <t>664726.02.01</t>
  </si>
  <si>
    <t>Антология  Рос. естественно-правовой мысли: Т.3: Моногр. / А.Г.Чернявский - М.:ИНФРА-М,2020 -222с(П)</t>
  </si>
  <si>
    <t>АНТОЛОГИЯ  РОССИЙСКОЙ ЕСТЕСТВЕННО-ПРАВОВОЙ МЫСЛИ: ТОМ 3: РОССИЙСКАЯ ЕСТЕСТВЕННО-ПРАВОВАЯ МЫСЛЬ ПЕРВОЙ ЧЕТВЕРТИ  XX ВЕКА, Т.3</t>
  </si>
  <si>
    <t>Чернявский А.Г., Куницын А.С., Воронцов А.Л.</t>
  </si>
  <si>
    <t>978-5-16-013308-9</t>
  </si>
  <si>
    <t>40.03.01, 40.04.01, 41.03.06, 44.03.05</t>
  </si>
  <si>
    <t>Военный Университет</t>
  </si>
  <si>
    <t>654521.04.01</t>
  </si>
  <si>
    <t>Антология Российской естеств.-правовой мысли: Моногр.: Т.1 / А.Г.Чернявский-М.:НИЦ ИНФРА-М,2023-166с</t>
  </si>
  <si>
    <t>АНТОЛОГИЯ РОССИЙСКОЙ ЕСТЕСТВЕННО-ПРАВОВОЙ МЫСЛИ, Т.1</t>
  </si>
  <si>
    <t>978-5-16-012738-5</t>
  </si>
  <si>
    <t>654522.03.01</t>
  </si>
  <si>
    <t>Антология Российской естеств.-правовой мысли: Моногр.: Т.2 / А.Г.Чернявский-М.:НИЦ ИНФРА-М,2019-239с</t>
  </si>
  <si>
    <t>АНТОЛОГИЯ РОССИЙСКОЙ ЕСТЕСТВЕННО-ПРАВОВОЙ МЫСЛИ, Т.2</t>
  </si>
  <si>
    <t>978-5-16-012739-2</t>
  </si>
  <si>
    <t>695033.04.01</t>
  </si>
  <si>
    <t>Антропологическая элитология: Моногр. / П.Л.Карабущенко - М.:НИЦ ИНФРА-М,2026 - 340 с.(Науч.мысль)(П)</t>
  </si>
  <si>
    <t>АНТРОПОЛОГИЧЕСКАЯ ЭЛИТОЛОГИЯ</t>
  </si>
  <si>
    <t>Карабущенко П.Л.</t>
  </si>
  <si>
    <t>978-5-16-014637-9</t>
  </si>
  <si>
    <t>41.04.02, 41.06.01, 47.04.01, 47.06.01</t>
  </si>
  <si>
    <t>674730.07.01</t>
  </si>
  <si>
    <t>Антропология воспитания в рус. культуре: Моногр. / И.А.Булгакова - М.:НИЦ ИНФРА-М,2025 - 158 с.(Науч.мысль) (О)</t>
  </si>
  <si>
    <t>АНТРОПОЛОГИЯ ВОСПИТАНИЯ В РУССКОЙ КУЛЬТУРЕ</t>
  </si>
  <si>
    <t>Булгакова И.А.</t>
  </si>
  <si>
    <t>978-5-16-015636-1</t>
  </si>
  <si>
    <t>44.03.01, 44.03.02, 44.03.05, 44.04.01, 44.04.02, 44.04.03, 44.04.04</t>
  </si>
  <si>
    <t>814506.01.01</t>
  </si>
  <si>
    <t>Аппроксимация кусочно-линейных и обобщенных функций / С.В.Алюков-М.:НИЦ ИНФРА-М,2024.-149 с.(о)</t>
  </si>
  <si>
    <t>АППРОКСИМАЦИЯ КУСОЧНО-ЛИНЕЙНЫХ И ОБОБЩЕННЫХ ФУНКЦИЙ</t>
  </si>
  <si>
    <t>Алюков С.В.</t>
  </si>
  <si>
    <t>978-5-16-019295-6</t>
  </si>
  <si>
    <t>01.04.01, 01.04.03, 01.04.04, 01.05.01, 01.06.01</t>
  </si>
  <si>
    <t>Южно-Уральский государственный университет (национальный исследовательский университет)</t>
  </si>
  <si>
    <t>414500.12.01</t>
  </si>
  <si>
    <t>Артериальная гипертензия у детей и подростков...: Моногр. / В.А.Кельцев - М.:НИЦ ИНФРА-М,2025 - 157 с.(О)</t>
  </si>
  <si>
    <t>АРТЕРИАЛЬНАЯ ГИПЕРТЕНЗИЯ У ДЕТЕЙ И ПОДРОСТКОВ (КЛИНИКА, ДИАГНОСТИКА, ЛЕЧЕНИЕ)</t>
  </si>
  <si>
    <t>Кельцев В. А.</t>
  </si>
  <si>
    <t>978-5-16-006219-8</t>
  </si>
  <si>
    <t>30.06.01, 31.05.02, 31.06.01, 31.07.01, 31.08.13, 31.08.19, 31.08.36, 31.08.49, 31.08.63</t>
  </si>
  <si>
    <t>Самарский государственный медицинский университет</t>
  </si>
  <si>
    <t>732728.08.01</t>
  </si>
  <si>
    <t>Арт-рынок: актуальные пробл. правового регулир.: Моногр. / Л.Р. Клебанов - М,Норма, ИНФРА-М,2026-232с.(П)</t>
  </si>
  <si>
    <t>АРТ-РЫНОК: АКТУАЛЬНЫЕ ПРОБЛЕМЫ ПРАВОВОГО РЕГУЛИРОВАНИЯ</t>
  </si>
  <si>
    <t>Клебанов Л.Р.</t>
  </si>
  <si>
    <t>978-5-00156-052-4</t>
  </si>
  <si>
    <t>139400.16.01</t>
  </si>
  <si>
    <t>Архетипические психологич. типы: Моногр. / С.Ю.Поройков - М.:НИЦ ИНФРА-М,2026. - 597 с.(Науч.мысль)(п)</t>
  </si>
  <si>
    <t>АРХЕТИПИЧЕСКИЕ ПСИХОЛОГИЧЕСКИЕ ТИПЫ</t>
  </si>
  <si>
    <t>Поройков С. Ю.</t>
  </si>
  <si>
    <t>978-5-16-011617-4</t>
  </si>
  <si>
    <t>37.03.01, 37.03.02, 37.04.01, 37.04.02, 37.05.01, 37.05.02, 44.03.01, 44.03.02, 44.03.05, 44.04.02</t>
  </si>
  <si>
    <t>401500.11.01</t>
  </si>
  <si>
    <t>Архитектура и проект. программных систем: Моногр. / С.В.Назаров - 2 изд.-М.:НИЦ ИНФРА-М,2025 - 374 с.(П)</t>
  </si>
  <si>
    <t>АРХИТЕКТУРА И ПРОЕКТИРОВАНИЕ ПРОГРАММНЫХ СИСТЕМ, ИЗД.2</t>
  </si>
  <si>
    <t>Назаров С.В.</t>
  </si>
  <si>
    <t>978-5-16-011753-9</t>
  </si>
  <si>
    <t>02.03.02, 02.03.03, 02.06.01, 09.03.02, 09.03.04, 12.03.03</t>
  </si>
  <si>
    <t>Еврейский университет</t>
  </si>
  <si>
    <t>682920.08.01</t>
  </si>
  <si>
    <t>Архитектура общественных простр.: Моногр. / А.Л.Гельфонд - М.:НИЦ ИНФРА-М,2025 - 412 с.(Науч.мысль)(П)</t>
  </si>
  <si>
    <t>АРХИТЕКТУРА ОБЩЕСТВЕННЫХ ПРОСТРАНСТВ</t>
  </si>
  <si>
    <t>Гельфонд А.Л.</t>
  </si>
  <si>
    <t>978-5-16-014070-4</t>
  </si>
  <si>
    <t>07.03.01, 07.04.01</t>
  </si>
  <si>
    <t>Нижегородский государственный архитектурно-строительный университет</t>
  </si>
  <si>
    <t>720406.03.01</t>
  </si>
  <si>
    <t>Архитектура эволюции: Моногр. / Ю.И.Пацкевич - М.:НИЦ ИНФРА-М,2026 - 186 с.(Науч.мысль)(о)</t>
  </si>
  <si>
    <t>АРХИТЕКТУРА ЭВОЛЮЦИИ</t>
  </si>
  <si>
    <t>Пацкевич Ю.И., Пацкевич А.В.</t>
  </si>
  <si>
    <t>978-5-16-016916-3</t>
  </si>
  <si>
    <t>Культура. Средства массовой информации</t>
  </si>
  <si>
    <t>00.03.10, 00.05.10, 39.06.01</t>
  </si>
  <si>
    <t>655225.06.01</t>
  </si>
  <si>
    <t>Архитектурно-компаратив. аспект правосл. монаст. Балкан... / С.В.Ильвицкая - 2 изд., - М.:НИЦ ИНФРА-М,2026 - 257 с.(о)</t>
  </si>
  <si>
    <t>АРХИТЕКТУРНО-КОМПАРАТИВНЫЙ АСПЕКТ ПРАВОСЛАВНЫХ МОНАСТЫРЕЙ БАЛКАНСКИХ СТРАН И РОССИИ, ИЗД.2</t>
  </si>
  <si>
    <t>Ильвицкая С.В.</t>
  </si>
  <si>
    <t>978-5-16-015512-8</t>
  </si>
  <si>
    <t>07.04.01, 07.04.02</t>
  </si>
  <si>
    <t>Государственный университет по землеустройству</t>
  </si>
  <si>
    <t>655225.02.01</t>
  </si>
  <si>
    <t>Архитектурно-компаративный аспект правосл.монаст.Балканских стран и России:Моногр./ С.В.Ильвицкая-М.:НИЦ ИНФРА-М,2018-99с</t>
  </si>
  <si>
    <t>АРХИТЕКТУРНО-КОМПАРАТИВНЫЙ АСПЕКТ ПРАВОСЛАВНЫХ МОНАСТЫРЕЙ БАЛКАНСКИХ СТРАН И РОССИИ</t>
  </si>
  <si>
    <t>978-5-16-012757-6</t>
  </si>
  <si>
    <t>448150.06.01</t>
  </si>
  <si>
    <t>Архитектурные модели эконом. сис.: Моногр. /К.С.Дрогобыцкая -М.:Вуз. уч., НИЦ ИНФРА-М,2023.-301 с.(П)</t>
  </si>
  <si>
    <t>АРХИТЕКТУРНЫЕ МОДЕЛИ ЭКОНОМИЧЕСКИХ СИСТЕМ</t>
  </si>
  <si>
    <t>Дрогобыцкая К. С., Дрогобыцкий И. Н.</t>
  </si>
  <si>
    <t>Вузовский учебник</t>
  </si>
  <si>
    <t>Научная книга</t>
  </si>
  <si>
    <t>978-5-9558-0328-9</t>
  </si>
  <si>
    <t>01.03.02, 01.04.02, 02.03.01, 02.03.02, 02.03.03, 02.04.01, 02.04.03, 03.03.02, 04.03.02, 09.03.02, 38.03.05, 38.04.05</t>
  </si>
  <si>
    <t>653888.07.01</t>
  </si>
  <si>
    <t>АСЕАН - движущ. сила регион. интегр. в Азии: Моногр. / И.И.Шувалов и др.-М.:НИЦ ИНФРА-М,2023-256с(П)</t>
  </si>
  <si>
    <t>АСЕАН - ДВИЖУЩАЯ СИЛА РЕГИОНАЛЬНОЙ ИНТЕГРАЦИИ В АЗИИ</t>
  </si>
  <si>
    <t>Шувалов И.И., Хабриева Т.Я., Капустин А.Я. и др.</t>
  </si>
  <si>
    <t>978-5-16-012641-8</t>
  </si>
  <si>
    <t>38.03.01, 44.03.01</t>
  </si>
  <si>
    <t>ВЭБ.РФ</t>
  </si>
  <si>
    <t>706590.01.01</t>
  </si>
  <si>
    <t>Аспекты маркетингового управления деятельностью и развитием: Моногр./ И.И.Скоробогатых и др.-Москва:НИЦ ИНФРА-М,2019.-195 с..-(Науч.мысль)(О)</t>
  </si>
  <si>
    <t>АСПЕКТЫ МАРКЕТИНГОВОГО УПРАВЛЕНИЯ ДЕЯТЕЛЬНОСТЬЮ И РАЗВИТИЕМ ПРЕДПРИНИМАТЕЛЬСКИХ СТРУКТУР НА ОБЩЕСТВЕННОМ ТРАНСПОРТЕ</t>
  </si>
  <si>
    <t>Скоробогатых И.И., Сидорчук Р.Р., Мешков А.А. и др.</t>
  </si>
  <si>
    <t>978-5-16-015151-9</t>
  </si>
  <si>
    <t>Бизнес</t>
  </si>
  <si>
    <t>38.03.01, 38.03.02, 38.04.01, 38.04.02</t>
  </si>
  <si>
    <t>460850.05.01</t>
  </si>
  <si>
    <t>Аспекты экол. отв.  хозяйст. субъектов РФ: Моног. /А.П.Гарнов -М:НИЦ ИНФРА-М, 2020-190с-(Научн. мысль)(о)</t>
  </si>
  <si>
    <t>АСПЕКТЫ ЭКОЛОГИЧЕСКОЙ ОТВЕТСТВЕННОСТИ ХОЗЯЙСТВУЮЩИХ СУБЪЕКТОВ РОССИЙСКОЙ ФЕДЕРАЦИИ</t>
  </si>
  <si>
    <t>Гарнов А.П., Краснобаева О.В.</t>
  </si>
  <si>
    <t>978-5-16-009496-0</t>
  </si>
  <si>
    <t>38.03.01, 38.03.02, 38.03.04, 38.04.01, 38.04.02, 38.04.04, 40.03.01, 40.04.01, 41.03.06</t>
  </si>
  <si>
    <t>218100.09.01</t>
  </si>
  <si>
    <t>Аспиранты России:отбор,подготовка..:Моногр./С.Д.Резник-2изд.-М.:НИЦ ИНФРА-М,2023-236с(Науч.мысль)(о)</t>
  </si>
  <si>
    <t>АСПИРАНТЫ РОССИИ: ОТБОР, ПОДГОТОВКА К САМОСТОЯТЕЛЬНОЙ НАУЧНОЙ И ПЕДАГОГИЧЕСКОЙ ДЕЯТЕЛЬНОСТИ, ИЗД.2</t>
  </si>
  <si>
    <t>Резник С.Д., Макарова С.Н., Джевицкая Е.С. и др.</t>
  </si>
  <si>
    <t>978-5-16-006929-6</t>
  </si>
  <si>
    <t>40.03.01, 44.03.01, 44.03.05</t>
  </si>
  <si>
    <t>Пензенский государственный университет архитектуры и строительства</t>
  </si>
  <si>
    <t>0213</t>
  </si>
  <si>
    <t>845526.04.01</t>
  </si>
  <si>
    <t>Астрономия: Науч.-популяр. изд. / С.В.Павлов - М.:НИЦ ИНФРА-М,2026. - 358 с. [16+](п)</t>
  </si>
  <si>
    <t>АСТРОНОМИЯ</t>
  </si>
  <si>
    <t>Павлов С.В.</t>
  </si>
  <si>
    <t>Интересно знать</t>
  </si>
  <si>
    <t>978-5-16-020476-5</t>
  </si>
  <si>
    <t>Научно-популярное издание</t>
  </si>
  <si>
    <t>Дополнительное образование</t>
  </si>
  <si>
    <t>00.02.10</t>
  </si>
  <si>
    <t>Московский государственный университет им. М.В. Ломоносова, физический факультет</t>
  </si>
  <si>
    <t>777627.04.01</t>
  </si>
  <si>
    <t>Атеросклероз: иммуногенетические...: Моногр. / Е.А.Чагина - М.:НИЦ ИНФРА-М,2025. - 171 с.(Науч.мысль)(О)</t>
  </si>
  <si>
    <t>АТЕРОСКЛЕРОЗ: ИММУНОГЕНЕТИЧЕСКИЕ И МЕТАБОЛИЧЕСКИЕ АСПЕКТЫ ПАТОГЕНЕЗА</t>
  </si>
  <si>
    <t>Турмова Е.П., Маркелова Е.В., Чагина Е.А. и др.</t>
  </si>
  <si>
    <t>978-5-16-017710-6</t>
  </si>
  <si>
    <t>31.05.01, 31.06.01</t>
  </si>
  <si>
    <t>Тихоокеанский государственный медицинский университет</t>
  </si>
  <si>
    <t>838285.01.01</t>
  </si>
  <si>
    <t>Атмоэкодиагностика урбанизир. геосис. межгор. котловин / А.П.Щербатюк - М.:НИЦ ИНФРА-М,2024.-188 с.(о)</t>
  </si>
  <si>
    <t>АТМОЭКОДИАГНОСТИКА УРБАНИЗИРОВАННЫХ ГЕОСИСТЕМ МЕЖГОРНЫХ КОТЛОВИН (НА ПРИМЕРЕ ЗАБАЙКАЛЬЯ)</t>
  </si>
  <si>
    <t>Щербатюк А.П.</t>
  </si>
  <si>
    <t>978-5-16-020246-4</t>
  </si>
  <si>
    <t>05.04.06, 05.06.01</t>
  </si>
  <si>
    <t>Забайкальский государственный университет</t>
  </si>
  <si>
    <t>426800.09.01</t>
  </si>
  <si>
    <t>Аудит и анализ при банкротстве: теория и практика: Моногр. / М.В.Чернова-М.:НИЦ ИНФРА-М,2025-207с(О)</t>
  </si>
  <si>
    <t>АУДИТ И АНАЛИЗ ПРИ БАНКРОТСТВЕ: ТЕОРИЯ И ПРАКТИКА</t>
  </si>
  <si>
    <t>Чернова М. В.</t>
  </si>
  <si>
    <t>978-5-16-006029-3</t>
  </si>
  <si>
    <t>ДА</t>
  </si>
  <si>
    <t>423450.07.01</t>
  </si>
  <si>
    <t>Аудит: расширяем границы науки (теор. и метод.): Моногр. /И.В.Федоренко -М.:НИЦ ИНФРА-М,2023.-100 с.(Науч. мысль)(О)</t>
  </si>
  <si>
    <t>АУДИТ: РАСШИРЯЕМ ГРАНИЦЫ НАУКИ (ТЕОРИЯ И МЕТОДОЛОГИЯ)</t>
  </si>
  <si>
    <t>Федоренко И. В.</t>
  </si>
  <si>
    <t>978-5-16-006575-5</t>
  </si>
  <si>
    <t>38.03.01, 38.03.02, 38.04.01, 38.04.02, 38.04.08, 38.04.09, 38.05.01</t>
  </si>
  <si>
    <t>Сибирский государственный университет науки и технологий им. академика М.Ф. Решетнева</t>
  </si>
  <si>
    <t>371200.0112.01</t>
  </si>
  <si>
    <t>Аудитор, 2024, № 7</t>
  </si>
  <si>
    <t>АУДИТОР, 2024, № 7</t>
  </si>
  <si>
    <t>371200.0126.01</t>
  </si>
  <si>
    <t>Аудитор, 2025, № 9</t>
  </si>
  <si>
    <t>АУДИТОР, 2025, № 9</t>
  </si>
  <si>
    <t>Октябрь, 2025</t>
  </si>
  <si>
    <t>825639.01.01</t>
  </si>
  <si>
    <t>Аутогенный кризис - инновац. методология обеспеч...: Моногр. / О.В.Девяткин - М.:НИЦ ИНФРА-М,2025. - 184 с.(п)</t>
  </si>
  <si>
    <t>АУТОГЕННЫЙ КРИЗИС - ИННОВАЦИОННАЯ МЕТОДОЛОГИЯ ОБЕСПЕЧЕНИЯ УСТОЙЧИВОГО РАЗВИТИЯ ЭКОНОМИЧЕСКИХ СИСТЕМ</t>
  </si>
  <si>
    <t>Девяткин О.В.</t>
  </si>
  <si>
    <t>978-5-16-019928-3</t>
  </si>
  <si>
    <t>38.04.01, 38.04.02, 38.06.01</t>
  </si>
  <si>
    <t>АКАДЕМУС-2024, Победитель, III место</t>
  </si>
  <si>
    <t>832019.01.01</t>
  </si>
  <si>
    <t>Африка в сис. совр. международ. отнош. в контексте СВО на Украине / Я.Н.Аду-М.:НИЦ ИНФРА-М,2024.-153 с.(п)</t>
  </si>
  <si>
    <t>АФРИКА В СИСТЕМЕ СОВРЕМЕННЫХ МЕЖДУНАРОДНЫХ ОТНОШЕНИЙ В КОНТЕКСТЕ СВО НА УКРАИНЕ</t>
  </si>
  <si>
    <t>Аду Я.Н.</t>
  </si>
  <si>
    <t>978-5-16-019976-4</t>
  </si>
  <si>
    <t>41.04.01, 41.04.03, 41.04.04, 41.04.05, 41.06.01</t>
  </si>
  <si>
    <t>657351.05.01</t>
  </si>
  <si>
    <t>Афроамериканская лит. США: очерки и портреты: Моногр/ / Б.А.Гиленсон-М.:НИЦ ИНФРА-М,2023.-187 с(П)</t>
  </si>
  <si>
    <t>АФРОАМЕРИКАНСКАЯ ЛИТЕРАТУРА США: ОЧЕРКИ И ПОРТРЕТЫ</t>
  </si>
  <si>
    <t>978-5-16-012826-9</t>
  </si>
  <si>
    <t>41.03.06, 42.03.02, 42.03.03, 42.03.04, 44.03.05</t>
  </si>
  <si>
    <t>472250.08.01</t>
  </si>
  <si>
    <t>Аэродинамика промышленных зданий: аэродин..: Моногр. / В.Т.Самсонов - 2 изд.-М.:НИЦ ИНФРА-М,2024-230с(О)</t>
  </si>
  <si>
    <t>АЭРОДИНАМИКА ПРОМЫШЛЕННЫХ ЗДАНИЙ: АЭРОДИНАМИЧЕСКИЕ РАСЧЁТЫ ПРИ ПРОЕКТИРОВАНИИ ВЕНТИЛЯЦИОННЫХ ВЫБРОСОВ, ИЗД.2</t>
  </si>
  <si>
    <t>Самсонов В.Т.</t>
  </si>
  <si>
    <t>978-5-16-014461-0</t>
  </si>
  <si>
    <t>08.03.01, 08.04.01, 08.05.01</t>
  </si>
  <si>
    <t>Всероссийский научно-исследовательский институт труда</t>
  </si>
  <si>
    <t>212100.12.01</t>
  </si>
  <si>
    <t>Базисная система риск-менеджмента...: Моногр. / Д.В.Соколов - М.:НИЦ ИНФРА-М,2025 - 125 с.(Науч.мысль)(О)</t>
  </si>
  <si>
    <t>БАЗИСНАЯ СИСТЕМА РИСК-МЕНЕДЖМЕНТ ОРГАНИЗАЦИЙ РЕАЛЬНОГО СЕКТОРА ЭКОНОМИКИ</t>
  </si>
  <si>
    <t>Соколов Д.В., Барчуков А.В.</t>
  </si>
  <si>
    <t>978-5-16-006862-6</t>
  </si>
  <si>
    <t>38.03.02, 38.04.02, 41.03.06, 44.03.05</t>
  </si>
  <si>
    <t>Академия права и управления Федеральной службы исполнения наказаний</t>
  </si>
  <si>
    <t>682688.02.01</t>
  </si>
  <si>
    <t>Банальность бытия: Монография / С.В.Борзых - М.:НИЦ ИНФРА-М,2023 - 155 с.-(Науч.мысль)(О)</t>
  </si>
  <si>
    <t>БАНАЛЬНОСТЬ БЫТИЯ</t>
  </si>
  <si>
    <t>978-5-16-014027-8</t>
  </si>
  <si>
    <t>44.03.01, 44.03.05, 47.04.01</t>
  </si>
  <si>
    <t>632667.08.01</t>
  </si>
  <si>
    <t>Банк 3.0: стратегии, бизнес-процессы, инновации: Моногр. / Р.А.Исаев-М.:НИЦ ИНФРА-М,2024.-160 с.(О)</t>
  </si>
  <si>
    <t>БАНК 3.0: СТРАТЕГИИ, БИЗНЕС-ПРОЦЕССЫ, ИННОВАЦИИ</t>
  </si>
  <si>
    <t>Исаев Р.А.</t>
  </si>
  <si>
    <t>978-5-16-012010-2</t>
  </si>
  <si>
    <t>38.03.01, 38.04.01, 38.04.08, 44.03.05</t>
  </si>
  <si>
    <t>ГК СОВРЕМЕННЫЕ ТЕХНОЛОГИИ УПРАВЛЕНИЯ ООО</t>
  </si>
  <si>
    <t>150600.11.01</t>
  </si>
  <si>
    <t>Банковский менеджмент и бизнес-инжиниринг. Т. 1: Моногр. / Р.А.Исаев - 2 изд.-М.:НИЦ ИНФРА-М,2025.-286 с.(п)</t>
  </si>
  <si>
    <t>БАНКОВСКИЙ МЕНЕДЖМЕНТ И БИЗНЕС-ИНЖИНИРИНГ, Т.1, ИЗД.2</t>
  </si>
  <si>
    <t>978-5-16-010458-4</t>
  </si>
  <si>
    <t>747343.11.01</t>
  </si>
  <si>
    <t>Банковский менеджмент и бизнес-инжиниринг: В 2 т.Т.2 / Р.А.Исаев - 2 изд. - М.:НИЦ ИНФРА-М,2026 - 336 с.(п)</t>
  </si>
  <si>
    <t>БАНКОВСКИЙ МЕНЕДЖМЕНТ И БИЗНЕС-ИНЖИНИРИНГ, Т.2, ИЗД.2</t>
  </si>
  <si>
    <t>978-5-16-010459-1</t>
  </si>
  <si>
    <t>132350.13.01</t>
  </si>
  <si>
    <t>Банкротство: учет, анализ, аудит: Практ. пос. / Н.В.Кобозева - М.:Магистр, НИЦ ИНФРА-М,2026. - 208 с.(о)</t>
  </si>
  <si>
    <t>БАНКРОТСТВО: УЧЕТ, АНАЛИЗ, АУДИТ</t>
  </si>
  <si>
    <t>Кобозева Н.В.</t>
  </si>
  <si>
    <t>978-5-9776-0154-2</t>
  </si>
  <si>
    <t>Дополнительное образование / Дополнительное профессиональное образование / ДПО - повышение квалификации</t>
  </si>
  <si>
    <t>38.03.01, 38.03.02, 38.04.01, 38.04.02, 38.04.08, 44.03.01</t>
  </si>
  <si>
    <t>0110</t>
  </si>
  <si>
    <t>770894.04.01</t>
  </si>
  <si>
    <t>Бедренная грыжа: Монография / В.И.Белоконев - М.:НИЦ ИНФРА-М,2024 - 152 с.(Науч.мысль)(О)</t>
  </si>
  <si>
    <t>БЕДРЕННАЯ ГРЫЖА</t>
  </si>
  <si>
    <t>Белоконев В.И., Пушкин С.Ю., Бурнаева Н.С. и др.</t>
  </si>
  <si>
    <t>978-5-16-017466-2</t>
  </si>
  <si>
    <t>31.05.01, 31.05.02, 31.08.67, 32.05.01</t>
  </si>
  <si>
    <t>433931.0037.01</t>
  </si>
  <si>
    <t>Безопасность в техносфере, 2020, № 3 (84)</t>
  </si>
  <si>
    <t>БЕЗОПАСНОСТЬ В ТЕХНОСФЕРЕ, 2020, № 3 (84)</t>
  </si>
  <si>
    <t>00.03.01, 20.03.01, 20.03.02, 20.04.01, 20.04.02, 20.05.01</t>
  </si>
  <si>
    <t>678433.03.01</t>
  </si>
  <si>
    <t>Безопасность пищевых продуктов в Среднем Приобье: Моногр. / В.Н.Кисленко-М.:НИЦ ИНФРА-М,2023-145с(О)</t>
  </si>
  <si>
    <t>БЕЗОПАСНОСТЬ ПИЩЕВЫХ ПРОДУКТОВ В СРЕДНЕМ ПРИОБЬЕ</t>
  </si>
  <si>
    <t>978-5-16-013760-5</t>
  </si>
  <si>
    <t>19.03.04, 38.03.07</t>
  </si>
  <si>
    <t>777932.04.01</t>
  </si>
  <si>
    <t>Белорусский выбор. Политич. и экономич. анализ...: Моногр. / С.Ю.Глазьев - М.:НИЦ ИНФРА-М,2024. - 218 с.(О)</t>
  </si>
  <si>
    <t>БЕЛОРУССКИЙ ВЫБОР. ПОЛИТИЧЕСКИЙ И ЭКОНОМИЧЕСКИЙ АНАЛИЗ РЕСПУБЛИКИ БЕЛАРУСЬ ДО И ПОСЛЕ ПРЕЗИДЕНТСКИХ ВЫБОРОВ 2020 ГОДА</t>
  </si>
  <si>
    <t>Глазьев С.Ю., Чистилин Д.К., Живалов В.Н. и др.</t>
  </si>
  <si>
    <t>978-5-16-017784-7</t>
  </si>
  <si>
    <t>41.03.01, 41.03.05, 41.03.06, 41.04.04, 41.06.01</t>
  </si>
  <si>
    <t>717496.08.01</t>
  </si>
  <si>
    <t>Беспилотные летательные аппараты...: Моногр. / В.А.Крамарь - М.:НИЦ ИНФРА-М,2025 - 180 с.(о)</t>
  </si>
  <si>
    <t>БЕСПИЛОТНЫЕ ЛЕТАТЕЛЬНЫЕ АППАРАТЫ,  ИХ ЭЛЕКТРОМАГНИТНАЯ СТОЙКОСТЬ И МАТЕМАТИЧЕСКИЕ МОДЕЛИ СИСТЕМ  СТАБИЛИЗАЦИИ</t>
  </si>
  <si>
    <t>Крамарь В.А., Володин А.Н., Евтушенко Е.В. и др.</t>
  </si>
  <si>
    <t>978-5-16-015841-9</t>
  </si>
  <si>
    <t>15.02.10, 24.03.04, 24.04.04, 24.05.06, 24.06.01, 25.02.08</t>
  </si>
  <si>
    <t>848310.01.01</t>
  </si>
  <si>
    <t>Беспризорные организации: Моногр. / Д.Ю.Каталевский - М.:Магистр, НИЦ ИНФРА-М,2025. - 324 с.(п)</t>
  </si>
  <si>
    <t>БЕСПРИЗОРНЫЕ ОРГАНИЗАЦИИ</t>
  </si>
  <si>
    <t>Каталевский Д.Ю.</t>
  </si>
  <si>
    <t>978-5-9776-0567-0</t>
  </si>
  <si>
    <t>38.04.01, 38.04.02, 38.04.04, 38.05.01, 38.06.01</t>
  </si>
  <si>
    <t>Декабрь, 2024</t>
  </si>
  <si>
    <t>452200.16.01</t>
  </si>
  <si>
    <t>Библиотечный фонд: Сл.-справ. / Под ред. Столярова Ю.Н. - М.:НИЦ ИНФРА-М,2026 - 160 с.(П)</t>
  </si>
  <si>
    <t>БИБЛИОТЕЧНЫЙ ФОНД</t>
  </si>
  <si>
    <t>Ратникова Е.И., Стародубова Н.З., Толчинская Л.М. и др.</t>
  </si>
  <si>
    <t>Библиотека малых словарей "Инфра-М"</t>
  </si>
  <si>
    <t>978-5-16-011455-2</t>
  </si>
  <si>
    <t>Словарь-справочник</t>
  </si>
  <si>
    <t>51.03.06, 51.04.06</t>
  </si>
  <si>
    <t>РГБ ФГБУ</t>
  </si>
  <si>
    <t>185450.03.01</t>
  </si>
  <si>
    <t>Бизнес в Русской Америке: история и современность: Моногр. /О.В.Воробьева -М.:НИЦ ИНФРА-М,2019-143с.</t>
  </si>
  <si>
    <t>БИЗНЕС В РУССКОЙ АМЕРИКЕ: ИСТОРИЯ И СОВРЕМЕННОСТЬ</t>
  </si>
  <si>
    <t>Воробьева О. В.</t>
  </si>
  <si>
    <t>978-5-16-005614-2</t>
  </si>
  <si>
    <t>46.03.01, 46.04.01</t>
  </si>
  <si>
    <t>Российский государственный университет туризма и сервиса</t>
  </si>
  <si>
    <t>188350.08.01</t>
  </si>
  <si>
    <t>Бизнес-диалог/Business dialogue and ...: Reference book / Е.А. Спинова - М.: НИЦ Инфра-М, 2024-72с. (о)</t>
  </si>
  <si>
    <t>БИЗНЕС-ДИАЛОГ / BUSINESS DIALOGUE AND NEGOTIATION PHRASES</t>
  </si>
  <si>
    <t>Спинова Е.А.</t>
  </si>
  <si>
    <t>978-5-9776-0239-6</t>
  </si>
  <si>
    <t>41.03.05, 41.04.05, 45.03.02, 45.04.02, 45.05.01</t>
  </si>
  <si>
    <t>Всероссийская академия внешней торговли Министерства экономического развития Российской Федерации</t>
  </si>
  <si>
    <t>459550.07.01</t>
  </si>
  <si>
    <t>Бизнес-инкубаторы и предпринимат.: Моногр. / В.Л.Горбунов - М.:ИЦ РИОР, НИЦ ИНФРА-М,2025. - 215 с.(О)</t>
  </si>
  <si>
    <t>БИЗНЕС-ИНКУБАТОРЫ И ПРЕДПРИНИМАТЕЛЬСТВО</t>
  </si>
  <si>
    <t>Горбунов В.Л.</t>
  </si>
  <si>
    <t>Наука и практика</t>
  </si>
  <si>
    <t>978-5-369-01316-8</t>
  </si>
  <si>
    <t>Московский институт электронной техники</t>
  </si>
  <si>
    <t>688907.05.01</t>
  </si>
  <si>
    <t>Бизнес-процессы матер.-технич. обеспеч. ж/д трансп.: Моногр. / А.В.Цевелев - М.:НИЦ ИНФРА-М,2024-246с(О)</t>
  </si>
  <si>
    <t>БИЗНЕС-ПРОЦЕССЫ МАТЕРИАЛЬНО-ТЕХНИЧЕСКОГО ОБЕСПЕЧЕНИЯ ЖЕЛЕЗНОДОРОЖНОГО ТРАНСПОРТА</t>
  </si>
  <si>
    <t>Цевелев А.В.</t>
  </si>
  <si>
    <t>978-5-16-015401-5</t>
  </si>
  <si>
    <t>23.05.04, 23.06.01, 38.04.01, 38.04.02, 38.06.01</t>
  </si>
  <si>
    <t>Сибирский государственный университет путей сообщения</t>
  </si>
  <si>
    <t>681880.08.01</t>
  </si>
  <si>
    <t>Биоиндикация состояния окружающей среды: Моногр. / В.С.Груздев - М.:НИЦ ИНФРА-М,2025 - 160 с.(Науч.мысль)(О)</t>
  </si>
  <si>
    <t>БИОИНДИКАЦИЯ СОСТОЯНИЯ ОКРУЖАЮЩЕЙ СРЕДЫ</t>
  </si>
  <si>
    <t>Груздев В.С.</t>
  </si>
  <si>
    <t>978-5-16-013797-1</t>
  </si>
  <si>
    <t>05.03.06, 06.03.01, 06.04.01, 20.04.02</t>
  </si>
  <si>
    <t>806237.01.01</t>
  </si>
  <si>
    <t>Биоинтерфейс. Конформная наноэнергетика: Моногр. / С.Ю.Ильин-М.:НИЦ ИНФРА-М,2023.-398 с.(Науч.мысль)(п)</t>
  </si>
  <si>
    <t>БИОИНТЕРФЕЙС. КОНФОРМНАЯ НАНОЭНЕРГЕТИКА</t>
  </si>
  <si>
    <t>Ильин С.Ю., Лучинин В.В.</t>
  </si>
  <si>
    <t>978-5-16-018718-1</t>
  </si>
  <si>
    <t>28.04.01, 28.06.01</t>
  </si>
  <si>
    <t>Санкт-петербургский государственный электротехнический университет "ЛЭТИ" им. В.И. Ульянова (Ленина)</t>
  </si>
  <si>
    <t>671271.03.01</t>
  </si>
  <si>
    <t>Биологические и социальные эффекты адаптации к ..: Моногр. / О.Н.Малах - М.:НИЦ ИНФРА-М,2022-200с(О)</t>
  </si>
  <si>
    <t>БИОЛОГИЧЕСКИЕ И СОЦИАЛЬНЫЕ ЭФФЕКТЫ АДАПТАЦИИ К ГИПОБАРИЧЕСКОЙ ГИПОКСИИ</t>
  </si>
  <si>
    <t>Малах О.Н., Крестьянинова Т.Ю.</t>
  </si>
  <si>
    <t>978-5-16-013756-8</t>
  </si>
  <si>
    <t>Витебский государственный университет им. П.М. Машерова</t>
  </si>
  <si>
    <t>277900.06.01</t>
  </si>
  <si>
    <t>Биологические ресурсы Камчатки и их рац. исп. /А.Н.Сметанин - М.:НИЦ ИНФРА-М,2022 - 256с.(Научная мысль)</t>
  </si>
  <si>
    <t>БИОЛОГИЧЕСКИЕ РЕСУРСЫ КАМЧАТКИ И ИХ РАЦИОНАЛЬНОЕ  ИСПОЛЬЗОВАНИЕ</t>
  </si>
  <si>
    <t>Сметанин А. Н.</t>
  </si>
  <si>
    <t>978-5-16-009802-9</t>
  </si>
  <si>
    <t>Биологические науки</t>
  </si>
  <si>
    <t>05.04.06, 06.04.01</t>
  </si>
  <si>
    <t>749468.04.01</t>
  </si>
  <si>
    <t>Биологические эффекты электромагнитных полей: Моногр. / Е.К.Еськов-М.:НИЦ ИНФРА-М,2024.-284 с.(Науч.мысль)(О)</t>
  </si>
  <si>
    <t>БИОЛОГИЧЕСКИЕ ЭФФЕКТЫ ЭЛЕКТРОМАГНИТНЫХ ПОЛЕЙ</t>
  </si>
  <si>
    <t>Еськов Е.К.</t>
  </si>
  <si>
    <t>978-5-16-016769-5</t>
  </si>
  <si>
    <t>06.03.01</t>
  </si>
  <si>
    <t>Российский государственный университет народного хозяйства им. В.И.Вернадского</t>
  </si>
  <si>
    <t>424350.11.01</t>
  </si>
  <si>
    <t>Биология пчел: Энц. сл.-справ. / Е.К.Еськов - М.:НИЦ ИНФРА-М,2026 - VI,388 с.(Б-ка словарей "ИНФРА-М") (п)</t>
  </si>
  <si>
    <t>БИОЛОГИЯ ПЧЕЛ</t>
  </si>
  <si>
    <t>Еськов Е. К.</t>
  </si>
  <si>
    <t>978-5-16-005127-7</t>
  </si>
  <si>
    <t>Энциклопедический словарь</t>
  </si>
  <si>
    <t>06.03.01, 06.04.01, 36.03.02, 36.04.02, 44.03.05</t>
  </si>
  <si>
    <t>Допущено Учебно-методическим объединением высших учебных заведений Российской Федерации в качестве учебно-методического пособия для студентов высших учебных заведений, обучающихся по направлению подготовки 110401 «Зоотехния» и специальности 111801 «В</t>
  </si>
  <si>
    <t>640523.08.01</t>
  </si>
  <si>
    <t>Биотехнология нефтедобычи: принципы и применение: Моногр. / Н.М.Исмаилов - М.:НИЦ ИНФРА-М,2025 - 169 с.(о)</t>
  </si>
  <si>
    <t>БИОТЕХНОЛОГИЯ НЕФТЕДОБЫЧИ: ПРИНЦИПЫ И ПРИМЕНЕНИЕ</t>
  </si>
  <si>
    <t>Исмаилов Н.М.</t>
  </si>
  <si>
    <t>978-5-16-019906-1</t>
  </si>
  <si>
    <t>21.03.01</t>
  </si>
  <si>
    <t>Национальная академия наук Азербайджана</t>
  </si>
  <si>
    <t>717636.02.01</t>
  </si>
  <si>
    <t>Биоэкокластерные компл. для реш.  экологич., производ... / Н.М.Исмаилов - М. : ИНФРА-М, 2023-260с(О)</t>
  </si>
  <si>
    <t>БИОЭКОКЛАСТЕРНЫЕ КОМПЛЕКСЫ ДЛЯ РЕШЕНИЯ  ЭКОЛОГИЧЕСКИХ, ПРОИЗВОДСТВЕННЫХ И СОЦИАЛЬНЫХ ПРОБЛЕМ (НА ПРИМЕРЕ АЗЕРБАЙДЖАНА)</t>
  </si>
  <si>
    <t>Исмаилов Н.М., Наджафова С.И., Гасымова А.С.</t>
  </si>
  <si>
    <t>978-5-16-015619-4</t>
  </si>
  <si>
    <t>05.04.06, 38.04.01</t>
  </si>
  <si>
    <t>718573.02.01</t>
  </si>
  <si>
    <t>Биржевые рынки гос. Азии, Австралии и Тихого океана: Моногр. / Р.С.Куракин-М.:НИЦ ИНФРА-М,2023.-595 с(П)</t>
  </si>
  <si>
    <t>БИРЖЕВЫЕ РЫНКИ ГОСУДАРСТВ АЗИИ, АВСТРАЛИИ И ТИХОГО ОКЕАНА</t>
  </si>
  <si>
    <t>Куракин Р.С.</t>
  </si>
  <si>
    <t>978-5-16-015574-6</t>
  </si>
  <si>
    <t>38.03.01, 38.03.02, 38.04.01, 38.04.08, 40.03.01, 40.04.01</t>
  </si>
  <si>
    <t>678280.01.01</t>
  </si>
  <si>
    <t>Биржевые рынки гос. Африки: Моногр. / Р.С.Куракин - М.:НИЦ ИНФРА-М,2019 - 432 с.-(Науч.мысль)(П)</t>
  </si>
  <si>
    <t>БИРЖЕВЫЕ РЫНКИ ГОСУДАРСТВ АФРИКИ</t>
  </si>
  <si>
    <t>978-5-16-013646-2</t>
  </si>
  <si>
    <t>38.03.01, 38.03.02</t>
  </si>
  <si>
    <t>672053.02.01</t>
  </si>
  <si>
    <t>Биржевые рынки государств Америки: Монография / Р.С.Куракин-М.:НИЦ ИНФРА-М,2019-529с(Науч.мысль)(П)</t>
  </si>
  <si>
    <t>БИРЖЕВЫЕ РЫНКИ ГОСУДАРСТВ АМЕРИКИ</t>
  </si>
  <si>
    <t>978-5-16-013441-3</t>
  </si>
  <si>
    <t>699197.02.01</t>
  </si>
  <si>
    <t>Биржевые рынки государств Ближнего Востока:Моногр. / Р.С.Куракин-М.:НИЦ ИНФРА-М,2023-319 с.-(Науч.мысль)(П)</t>
  </si>
  <si>
    <t>БИРЖЕВЫЕ РЫНКИ ГОСУДАРСТВ БЛИЖНЕГО ВОСТОКА</t>
  </si>
  <si>
    <t>978-5-16-014677-5</t>
  </si>
  <si>
    <t>38.03.01, 38.04.01, 38.04.08, 40.03.01, 40.04.01</t>
  </si>
  <si>
    <t>668723.04.01</t>
  </si>
  <si>
    <t>Биржевые рынки государств Европы: Моногр. / Р.С.Куракин-М.:НИЦ ИНФРА-М,2023.-549 с..-(Науч.мысль)(П)</t>
  </si>
  <si>
    <t>БИРЖЕВЫЕ РЫНКИ ГОСУДАРСТВ ЕВРОПЫ</t>
  </si>
  <si>
    <t>978-5-16-013309-6</t>
  </si>
  <si>
    <t>632635.04.01</t>
  </si>
  <si>
    <t>Биржи стран БРИКС в контексте мировой.: Моногр. / О.И.Дегтярева - М., НИЦ ИНФРА-М,2026 - 208 с.(О)</t>
  </si>
  <si>
    <t>БИРЖИ СТРАН БРИКС В КОНТЕКСТЕ МИРОВОЙ БИРЖЕВОЙ ТОРГОВЛИ</t>
  </si>
  <si>
    <t>Дегтярева О.И.</t>
  </si>
  <si>
    <t>978-5-16-021572-3</t>
  </si>
  <si>
    <t>38.03.01, 38.03.02, 38.04.01, 38.04.06, 38.04.08, 44.03.01</t>
  </si>
  <si>
    <t>442600.10.01</t>
  </si>
  <si>
    <t>Битва за Кашмир: пакистано-индийская война 1965г.: Моногр. / Д.Б.Татарков-2изд.-М.:Вуз.уч.,НИЦ ИНФРА-М,2024-189с.(о)</t>
  </si>
  <si>
    <t>БИТВА ЗА КАШМИР: ПАКИСТАНО-ИНДИЙСКАЯ ВОЙНА 1965 Г., ИЗД.2</t>
  </si>
  <si>
    <t>Татарков Д.Б.</t>
  </si>
  <si>
    <t>978-5-9558-0468-2</t>
  </si>
  <si>
    <t>Военное дело. Оружие. Спецслужбы</t>
  </si>
  <si>
    <t>41.03.04, 56.05.05</t>
  </si>
  <si>
    <t>850478.01.01</t>
  </si>
  <si>
    <t>Благополучие персонала в сис. управ. человеч. ресурс.: Моногр. / Т.Г.Озерникова - М.:НИЦ ИНФРА-М,2026. - 373 с.(п)</t>
  </si>
  <si>
    <t>БЛАГОПОЛУЧИЕ ПЕРСОНАЛА В СИСТЕМЕ УПРАВЛЕНИЯ ЧЕЛОВЕЧЕСКИМИ РЕСУРСАМИ</t>
  </si>
  <si>
    <t>Озерникова Т.Г.</t>
  </si>
  <si>
    <t>978-5-16-020939-5</t>
  </si>
  <si>
    <t>38.04.03, 38.06.01</t>
  </si>
  <si>
    <t>Новосибирский государственный технический университет</t>
  </si>
  <si>
    <t>747743.04.01</t>
  </si>
  <si>
    <t>Благоприятствование защите (favor defensionis): Моногр. / С.А.Соловьев - М.:Юр.Норма,ИНФРА-М,2026. - 296 с.(П)</t>
  </si>
  <si>
    <t>БЛАГОПРИЯТСТВОВАНИЕ ЗАЩИТЕ (FAVOR DEFENSIONIS)</t>
  </si>
  <si>
    <t>Соловьев С.А.</t>
  </si>
  <si>
    <t>978-5-00156-137-8</t>
  </si>
  <si>
    <t>40.03.01, 40.04.01, 40.05.02, 40.05.04, 40.06.01</t>
  </si>
  <si>
    <t>693954.05.01</t>
  </si>
  <si>
    <t>Блокчейн в сис. упр. знанием: Моногр. / М.А.Сажина - М.:ИД ФОРУМ, НИЦ ИНФРА-М,2022 - 90с(Науч.мысль)(О)</t>
  </si>
  <si>
    <t>БЛОКЧЕЙН В СИСТЕМЕ УПРАВЛЕНИЯ ЗНАНИЕМ</t>
  </si>
  <si>
    <t>Сажина М.А., Костин С.В.</t>
  </si>
  <si>
    <t>ИД Форум</t>
  </si>
  <si>
    <t>978-5-8199-0849-5</t>
  </si>
  <si>
    <t>Московский государственный университет им. М.В. Ломоносова, факультет государственного управления</t>
  </si>
  <si>
    <t>786543.04.01</t>
  </si>
  <si>
    <t>Богатство цвета в русском языке: Моногр. / В.К.Харченко-М.:НИЦ ИНФРА-М,2024.-233 с.(Науч.мысль)(о)</t>
  </si>
  <si>
    <t>БОГАТСТВО ЦВЕТА В РУССКОМ ЯЗЫКЕ</t>
  </si>
  <si>
    <t>978-5-16-018691-7</t>
  </si>
  <si>
    <t>45.04.02, 45.06.01</t>
  </si>
  <si>
    <t>АКАДЕМУС-2022, Победитель, II место</t>
  </si>
  <si>
    <t>825280.01.01</t>
  </si>
  <si>
    <t>Боевые действия формир. войск НКВД в операц. по... / Д.В.Ставицкий - М.:НИЦ ИНФРА-М,2024. - 126 с(о)</t>
  </si>
  <si>
    <t>БОЕВЫЕ ДЕЙСТВИЯ ФОРМИРОВАНИЙ ВОЙСК НКВД В ОПЕРАЦИЯХ ПО ОБОРОНЕ КАВКАЗА (1942-1943 ГОДЫ)</t>
  </si>
  <si>
    <t>Ставицкий Д.В., Фетисов А.В., Кузнецов Д.Е.</t>
  </si>
  <si>
    <t>978-5-16-019867-5</t>
  </si>
  <si>
    <t>56.00.00, 46.04.01, 46.06.01, 56.04.01, 56.07.01</t>
  </si>
  <si>
    <t>Санкт-Петербургская военная ордена Жукова академия войск национальной гвардии Российской Федерации</t>
  </si>
  <si>
    <t>143000.11.01</t>
  </si>
  <si>
    <t>Большой испанско-рус. сл.: Латинская Америка /А.С.Волкова - 2 изд. - М.: НИЦ ИНФРА-М, 2026 - 726 с.(п)</t>
  </si>
  <si>
    <t>БОЛЬШОЙ ИСПАНСКО-РУССКИЙ СЛОВАРЬ: ЛАТИНСКАЯ АМЕРИКА, ИЗД.2</t>
  </si>
  <si>
    <t>Волкова А. С., Михеева Н. Ф., Синявский А. А., Фирсова Н. М.</t>
  </si>
  <si>
    <t>978-5-16-006097-2</t>
  </si>
  <si>
    <t>45.03.01, 45.03.02, 45.04.02</t>
  </si>
  <si>
    <t>714105.04.01</t>
  </si>
  <si>
    <t>Борьба за Евразию в фокусе транспортных геостратегий / Ю.А.Харламова - 2 изд.-М.:НИЦ ИНФРА-М,2022-219 с.(П)</t>
  </si>
  <si>
    <t>БОРЬБА ЗА ЕВРАЗИЮ В ФОКУСЕ ТРАНСПОРТНЫХ ГЕОСТРАТЕГИЙ, ИЗД.2</t>
  </si>
  <si>
    <t>Харламова Ю.А.</t>
  </si>
  <si>
    <t>978-5-16-016842-5</t>
  </si>
  <si>
    <t>38.04.01, 38.06.01, 40.06.01, 41.04.04, 41.04.05, 41.06.01</t>
  </si>
  <si>
    <t>Российский университет транспорта (МИИТ)</t>
  </si>
  <si>
    <t>0221</t>
  </si>
  <si>
    <t>714105.02.01</t>
  </si>
  <si>
    <t>Борьба за Евразию в фокусе транспортных геостратегий: Моногр./ Ю.А.Харламова-М.:НИЦ ИНФРА-М,2021-196с.(Науч.мысль)(П)</t>
  </si>
  <si>
    <t>БОРЬБА ЗА ЕВРАЗИЮ В ФОКУСЕ ТРАНСПОРТНЫХ ГЕОСТРАТЕГИЙ</t>
  </si>
  <si>
    <t>978-5-16-015450-3</t>
  </si>
  <si>
    <t>083270.12.01</t>
  </si>
  <si>
    <t>Борьба мотивов в преступном поведении: Моногр. / В.Н.Кудрявцев - М.:Юр.Норма, НИЦ ИНФРА-М,2025 - 128 с.(О)</t>
  </si>
  <si>
    <t>БОРЬБА МОТИВОВ В ПРЕСТУПНОМ ПОВЕДЕНИИ</t>
  </si>
  <si>
    <t>Кудрявцев В.Н.</t>
  </si>
  <si>
    <t>978-5-91768-855-8</t>
  </si>
  <si>
    <t>681717.09.01</t>
  </si>
  <si>
    <t>Борьба с коррупцией в правоохранит. орг. за рубежом: Моногр. / В.Ю.Артемов. - М.:НИЦ ИНФРА-М,2025. - 320 с.(П)</t>
  </si>
  <si>
    <t>БОРЬБА С КОРРУПЦИЕЙ В ПРАВООХРАНИТЕЛЬНЫХ ОРГАНАХ ЗА РУБЕЖОМ:</t>
  </si>
  <si>
    <t>Артемов В.Ю., Власов И.С., Голованова Н.А. и др.</t>
  </si>
  <si>
    <t>978-5-16-013731-5</t>
  </si>
  <si>
    <t>399600.04.01</t>
  </si>
  <si>
    <t>Бремя разума: Монография / С.В.Борзых-М.:НИЦ ИНФРА-М,2023.-115 с..-(Науч.мысль)(О)</t>
  </si>
  <si>
    <t>БРЕМЯ РАЗУМА</t>
  </si>
  <si>
    <t>978-5-16-011282-4</t>
  </si>
  <si>
    <t>39.00.00, 51.00.00, 39.04.01, 40.03.01, 44.03.01, 44.03.05, 47.03.01, 47.04.01, 51.04.01</t>
  </si>
  <si>
    <t>447300.09.01</t>
  </si>
  <si>
    <t>Бренд в современной культуре: Моногр. / Л.М.Дмитриева - М.: Магистр,НИЦ ИНФРА-М, 2025 - 200 с.(О)</t>
  </si>
  <si>
    <t>БРЕНД В СОВРЕМЕННОЙ КУЛЬТУРЕ</t>
  </si>
  <si>
    <t>Дмитриева Л.М.</t>
  </si>
  <si>
    <t>978-5-9776-0369-0</t>
  </si>
  <si>
    <t>42.04.01, 44.03.01, 44.03.05, 51.04.01</t>
  </si>
  <si>
    <t>Омский государственный технический университет</t>
  </si>
  <si>
    <t>818510.01.01</t>
  </si>
  <si>
    <t>БРИКС в системе управления Интернетом: Моногр. / А.А.Игнатов-М.:НИЦ ИНФРА-М,2024.-186 с.(Науч.мысль)(о)</t>
  </si>
  <si>
    <t>БРИКС В СИСТЕМЕ УПРАВЛЕНИЯ ИНТЕРНЕТОМ</t>
  </si>
  <si>
    <t>Игнатов А.А.</t>
  </si>
  <si>
    <t>978-5-16-019551-3</t>
  </si>
  <si>
    <t>09.04.02, 09.06.01, 10.04.01, 10.05.02, 10.06.01, 38.04.01, 38.06.01, 40.04.01, 40.06.01, 41.03.05, 41.04.04, 41.04.05, 41.06.01</t>
  </si>
  <si>
    <t>740999.07.01</t>
  </si>
  <si>
    <t>Будущее права: наследие академика В.С. Степина... / Т.Я.Хабриева-М.:НИЦ ИНФРА-М,2024.-176 с.(П)</t>
  </si>
  <si>
    <t>БУДУЩЕЕ ПРАВА: НАСЛЕДИЕ АКАДЕМИКА В.С. СТЕПИНА И ЮРИДИЧЕСКАЯ НАУКА</t>
  </si>
  <si>
    <t>Хабриева Т.Я., Черногор Н.Н.</t>
  </si>
  <si>
    <t>978-5-16-016361-1</t>
  </si>
  <si>
    <t>726513.06.01</t>
  </si>
  <si>
    <t>Будущее России: переход в новую формацию: Моногр./ В.Д.Попов - М.:НИЦ ИНФРА-М,2025 - 229 с.(Науч.мысль)(О)</t>
  </si>
  <si>
    <t>БУДУЩЕЕ РОССИИ: ПЕРЕХОД В НОВУЮ ФОРМАЦИЮ</t>
  </si>
  <si>
    <t>Попов В.Д.</t>
  </si>
  <si>
    <t>978-5-16-015903-4</t>
  </si>
  <si>
    <t>41.04.02, 41.04.04, 41.04.05, 41.06.01</t>
  </si>
  <si>
    <t>751248.02.01</t>
  </si>
  <si>
    <t>Бухгалтерские проводки в экономике коммер. орг.: Справ. пос. / Е.А.Мизиковский-М.:Магистр, НИЦ ИНФРА-М,2023.-336 с.(П)</t>
  </si>
  <si>
    <t>БУХГАЛТЕРСКИЕ ПРОВОДКИ В ЭКОНОМИКЕ КОММЕРЧЕСКИХ ОРГАНИЗАЦИЙ : СПРАВОЧНИК С КОММЕНТАРИЯМИ И РЕКОМЕНДАЦИЯМИ</t>
  </si>
  <si>
    <t>Мизиковский Е.А., Мизиковский И.Е.</t>
  </si>
  <si>
    <t>978-5-9776-0530-4</t>
  </si>
  <si>
    <t>38.03.01, 38.03.04, 38.03.06, 38.03.10</t>
  </si>
  <si>
    <t>Национальный исследовательский Нижегородский государственный университет им. Н.И. Лобачевского</t>
  </si>
  <si>
    <t>715337.03.01</t>
  </si>
  <si>
    <t>Бухгалтерский учет и оценка незаверш. произв. в растениеводстве: Моногр. / Н.Н.Карзаева-М.:НИЦ ИНФРА-М,2022-172 с.(О)</t>
  </si>
  <si>
    <t>БУХГАЛТЕРСКИЙ УЧЕТ И ОЦЕНКА НЕЗАВЕРШЕННОГО ПРОИЗВОДСТВА В РАСТЕНИЕВОДСТВЕ</t>
  </si>
  <si>
    <t>Карзаева Н.Н., Бенгардт М.В.</t>
  </si>
  <si>
    <t>978-5-16-015519-7</t>
  </si>
  <si>
    <t>38.03.01, 38.04.01, 38.06.01</t>
  </si>
  <si>
    <t>Вятский государственный университет</t>
  </si>
  <si>
    <t>826773.01.01</t>
  </si>
  <si>
    <t>Бухгалтерский учет обязательств организации...: Моногр. / Т.Ю.Дружиловская - М.:НИЦ ИНФРА-М,2025. - 181с(о)</t>
  </si>
  <si>
    <t>БУХГАЛТЕРСКИЙ УЧЕТ ОБЯЗАТЕЛЬСТВ ОРГАНИЗАЦИИ: ТЕОРЕТИЧЕСКИЙ, МЕТОДИЧЕСКИЙ И ПРАКТИЧЕСКИЙ АСПЕКТЫ</t>
  </si>
  <si>
    <t>Дружиловская Т.Ю., Игонина Т.В.</t>
  </si>
  <si>
    <t>978-5-16-019900-9</t>
  </si>
  <si>
    <t>38.04.01, 38.06.01</t>
  </si>
  <si>
    <t>670743.03.01</t>
  </si>
  <si>
    <t>Быстродействующие импульсные стабил.напряж.: Моногр. / В.И.Иванчура-М.:НИЦ ИНФРА-М, СФУ,2022-172с(П)</t>
  </si>
  <si>
    <t>БЫСТРОДЕЙСТВУЮЩИЕ ИМПУЛЬСНЫЕ СТАБИЛИЗАТОРЫ НАПРЯЖЕНИЯ</t>
  </si>
  <si>
    <t>Иванчура В.И., Капулин Д.В., Краснобаев Ю.В.</t>
  </si>
  <si>
    <t>978-5-16-017456-3</t>
  </si>
  <si>
    <t>13.03.02, 13.04.02, 13.06.01</t>
  </si>
  <si>
    <t>485950.07.01</t>
  </si>
  <si>
    <t>Бюджет России: развитие и обеспеч. эконом. безопас.: Моногр. / В.К.Сенчагов - М.:ИНФРА-М,2026 - 384 с.(П)</t>
  </si>
  <si>
    <t>БЮДЖЕТ РОССИИ: РАЗВИТИЕ И ОБЕСПЕЧЕНИЕ ЭКОНОМИЧЕСКОЙ БЕЗОПАСНОСТИ</t>
  </si>
  <si>
    <t>Сенчагов В.К.</t>
  </si>
  <si>
    <t>978-5-16-010597-0</t>
  </si>
  <si>
    <t>468550.08.01</t>
  </si>
  <si>
    <t>Бюджетирование в сист.упр.уч..: Моногр. /М.А.Вахрушина -М.:Вуз.уч.,НИЦ ИНФРА-М,2024-114с(Науч.книга)(О)</t>
  </si>
  <si>
    <t>БЮДЖЕТИРОВАНИЕ В СИСТЕМЕ УПРАВЛЕНЧЕСКОГО УЧЕТА МАЛОГО БИЗНЕСА: МЕТОДИКА И ОРГАНИЗАЦИЯ ПОСТАНОВКИ</t>
  </si>
  <si>
    <t>Вахрушина М.А., Пашкова Л.В.</t>
  </si>
  <si>
    <t>Финансовый университет при Правительстве РФ</t>
  </si>
  <si>
    <t>978-5-9558-0374-6</t>
  </si>
  <si>
    <t>38.03.04, 38.04.04, 38.04.08, 41.03.06</t>
  </si>
  <si>
    <t>782712.01.01</t>
  </si>
  <si>
    <t>Бюджетное регулирование в РФ: Монография / Р.В.Ткаченко-М.:Юр. НОРМА,2022.-400 с.(П)</t>
  </si>
  <si>
    <t>БЮДЖЕТНОЕ РЕГУЛИРОВАНИЕ В РОССИЙСКОЙ ФЕДЕРАЦИИ</t>
  </si>
  <si>
    <t>Ткаченко Р.В.</t>
  </si>
  <si>
    <t>978-5-00156-252-8</t>
  </si>
  <si>
    <t>38.04.08, 40.04.01, 40.06.01</t>
  </si>
  <si>
    <t>248500.08.01</t>
  </si>
  <si>
    <t>Бюджетное устройство России: Моногр./Х.В.Пешкова - М.: НИЦ ИНФРА-М, 2024-176с.(Науч. мысль; Право)(О)</t>
  </si>
  <si>
    <t>БЮДЖЕТНОЕ УСТРОЙСТВО РОССИИ</t>
  </si>
  <si>
    <t>Пешкова Х. В.</t>
  </si>
  <si>
    <t>978-5-16-009332-1</t>
  </si>
  <si>
    <t>38.04.08, 40.03.01, 40.04.01, 40.05.01, 40.05.02, 40.05.03, 40.05.04</t>
  </si>
  <si>
    <t>Воронежский институт Федеральной службы исполнения наказаний России</t>
  </si>
  <si>
    <t>322700.04.01</t>
  </si>
  <si>
    <t>Бюджетное устройство РФ:теор.аспекты:Моногр. / Н.М.Сабитова-М.:НИЦ ИНФРА-М,2019-182с.(Науч.мысль)(О)</t>
  </si>
  <si>
    <t>БЮДЖЕТНОЕ УСТРОЙСТВО РОССИЙСКОЙ ФЕДЕРАЦИИ: ТЕОРЕТИЧЕСКИЕ АСПЕКТЫ</t>
  </si>
  <si>
    <t>Сабитова Н.М.</t>
  </si>
  <si>
    <t>978-5-16-010491-1</t>
  </si>
  <si>
    <t>38.03.01, 38.04.01, 38.04.08, 38.04.09</t>
  </si>
  <si>
    <t>765634.06.01</t>
  </si>
  <si>
    <t>Бюджетные системы России и Китая...: Моногр. / А.А.Трофимов - М.:НИЦ ИНФРА-М,2025 - 215 с.(Науч.мысль)(О)</t>
  </si>
  <si>
    <t>БЮДЖЕТНЫЕ СИСТЕМЫ РОССИИ И КИТАЯ: ВОПРОСЫ ПРАВОВОГО РЕГУЛИРОВАНИЯ</t>
  </si>
  <si>
    <t>Трофимов А.А.</t>
  </si>
  <si>
    <t>978-5-16-017244-6</t>
  </si>
  <si>
    <t>38.04.01, 38.04.08, 38.06.01, 40.03.01, 40.04.01, 40.06.01</t>
  </si>
  <si>
    <t>646551.02.01</t>
  </si>
  <si>
    <t>В поисках равновесия / Р.С.Гринберг - М.:Магистр,2017 - 160 с.(П)</t>
  </si>
  <si>
    <t>В ПОИСКАХ РАВНОВЕСИЯ</t>
  </si>
  <si>
    <t>Гринберг Р.С.</t>
  </si>
  <si>
    <t>978-5-9776-0420-8</t>
  </si>
  <si>
    <t>Институт экономики Российской академии наук</t>
  </si>
  <si>
    <t>727996.04.01</t>
  </si>
  <si>
    <t>В поисках совр. концепции внеш. полит. США конца ХΙХ - нач. ХХ в. / Л.В.Байбакова - М.:НИЦ ИНФРА-М,2025. - 187 с.(О)</t>
  </si>
  <si>
    <t>В ПОИСКАХ СОВРЕМЕННОЙ КОНЦЕПЦИИ ВНЕШНЕЙ ПОЛИТИКИ США КОНЦА ХΙХ - НАЧАЛА ХХ ВЕКА</t>
  </si>
  <si>
    <t>Байбакова Л.В.</t>
  </si>
  <si>
    <t>978-5-16-015954-6</t>
  </si>
  <si>
    <t>41.03.05</t>
  </si>
  <si>
    <t>766949.01.01</t>
  </si>
  <si>
    <t>В поиске смыслов...: Монография / Д.А.Чугунов-М.:НИЦ ИНФРА-М,2022.-340 с.(Науч.мысль)(П)</t>
  </si>
  <si>
    <t>В ПОИСКЕ СМЫСЛОВ. НЕМЕЦКОЯЗЫЧНАЯ ПРЕМИАЛЬНАЯ ЛИТЕРАТУРА 2001-2020 ГГ.</t>
  </si>
  <si>
    <t>Чугунов Д.А.</t>
  </si>
  <si>
    <t>978-5-16-017301-6</t>
  </si>
  <si>
    <t>45.04.01, 45.06.01</t>
  </si>
  <si>
    <t>674995.03.01</t>
  </si>
  <si>
    <t>Вакуумные плазменные электропечи: Моногр. / В.С.Чередниченко - 2 изд. - М.:НИЦ ИНФРА-М,2022-583с(П)</t>
  </si>
  <si>
    <t>ВАКУУМНЫЕ ПЛАЗМЕННЫЕ ЭЛЕКТРОПЕЧИ, ИЗД.2</t>
  </si>
  <si>
    <t>Чередниченко В.С., Юдин Б.И.</t>
  </si>
  <si>
    <t>978-5-16-013627-1</t>
  </si>
  <si>
    <t>22.03.02, 22.04.01, 22.04.02</t>
  </si>
  <si>
    <t>0218</t>
  </si>
  <si>
    <t>164050.14.01</t>
  </si>
  <si>
    <t>Валеология: словарь терминов и понятий / Э.М.Прохорова - М.:НИЦ ИНФРА-М,2026 - 110 с.(о)</t>
  </si>
  <si>
    <t>ВАЛЕОЛОГИЯ: СЛОВАРЬ ТЕРМИНОВ И ПОНЯТИЙ</t>
  </si>
  <si>
    <t>Прохорова Э. М.</t>
  </si>
  <si>
    <t>978-5-16-013211-2</t>
  </si>
  <si>
    <t>39.02.01, 39.03.02, 39.04.02</t>
  </si>
  <si>
    <t>Российский государственный университет туризма и сервиса, ф-л Институт туризма и гостеприимства</t>
  </si>
  <si>
    <t>666399.03.01</t>
  </si>
  <si>
    <t>Валюативные модели социального...: Моногр. / Ю.М.Коротченко-М.:Вуз.уч.,НИЦ ИНФРА-М,2020-153с.-(Научная книга)(О)</t>
  </si>
  <si>
    <t>ВАЛЮАТИВНЫЕ МОДЕЛИ СОЦИАЛЬНОГО: ГЕРОИ И ЦЕННОСТИ</t>
  </si>
  <si>
    <t>Коротченко Ю.М.</t>
  </si>
  <si>
    <t>978-5-9558-0597-9</t>
  </si>
  <si>
    <t>37.03.01, 40.03.01, 41.03.04, 41.04.04, 44.03.01, 44.03.05, 47.03.01</t>
  </si>
  <si>
    <t>695744.02.01</t>
  </si>
  <si>
    <t>Введение в кинетическую геометрию: Моногр. / Н.А.Сальков - М.:НИЦ ИНФРА-М,2022 - 160 с.(Науч.мысль)(О)</t>
  </si>
  <si>
    <t>ВВЕДЕНИЕ В КИНЕТИЧЕСКУЮ ГЕОМЕТРИЮ</t>
  </si>
  <si>
    <t>Сальков Н.А.</t>
  </si>
  <si>
    <t>978-5-16-014614-0</t>
  </si>
  <si>
    <t>07.03.01, 07.04.01, 07.04.03, 07.04.04, 08.03.01, 08.04.01</t>
  </si>
  <si>
    <t>Московский государственный академический художественный институт им. В.И. Сурикова при Российской академии художеств</t>
  </si>
  <si>
    <t>425700.07.01</t>
  </si>
  <si>
    <t>Введение в Конституцию России: Моногр. / Б.С.Эбзеев - М.:Юр.Норма, НИЦ ИНФРА-М, 2026. - 560 с. (П)</t>
  </si>
  <si>
    <t>ВВЕДЕНИЕ В КОНСТИТУЦИЮ РОССИИ</t>
  </si>
  <si>
    <t>Эбзеев Б. С.</t>
  </si>
  <si>
    <t>978-5-91768-338-6</t>
  </si>
  <si>
    <t>Центральная избирательная комиссия Российской Федерации</t>
  </si>
  <si>
    <t>168350.12.01</t>
  </si>
  <si>
    <t>Введение в криптографию: Курс лекций / В.А.Романьков, - 2 изд. - М.:Форум, НИЦ ИНФРА-М,2025. - 240 с.(ВО)(П)</t>
  </si>
  <si>
    <t>ВВЕДЕНИЕ В КРИПТОГРАФИЮ, ИЗД.2</t>
  </si>
  <si>
    <t>Романьков В.А.</t>
  </si>
  <si>
    <t>Высшее образование: Бакалавриат</t>
  </si>
  <si>
    <t>978-5-00091-493-9</t>
  </si>
  <si>
    <t>01.03.02, 02.03.01, 02.03.02, 02.03.03, 09.03.01, 09.03.02, 09.03.03, 09.03.04</t>
  </si>
  <si>
    <t>Рекомендовано студентам высших учебных заведений. Рекомендовано в качестве учебного пособия для студентов высших учебных заведений, обучающихся по направлениям подготовки 01.03.01 «Математика», 02.03.01 «Математика и компьютерные технологии», 01.03.02 «Прикладная математика и информатика» (квалификация (степень) «бакалавр»)</t>
  </si>
  <si>
    <t>Омский государственный университет им. Ф.М. Достоевского</t>
  </si>
  <si>
    <t>0212</t>
  </si>
  <si>
    <t>766876.03.01</t>
  </si>
  <si>
    <t>Введение в теор. и ист. политич. орг. общества и права: Моногр. / С.А.Дробышевский - М.:Юр.Норма,ИНФРА-М,2026. - 304 с.(П)</t>
  </si>
  <si>
    <t>ВВЕДЕНИЕ В ТЕОРИЮ И ИСТОРИЮ ПОЛИТИЧЕСКИ ОРГАНИЗОВАННОГО ОБЩЕСТВА И ПРАВА</t>
  </si>
  <si>
    <t>Дробышевский С.А.</t>
  </si>
  <si>
    <t>978-5-00156-200-9</t>
  </si>
  <si>
    <t>40.03.01, 40.06.01</t>
  </si>
  <si>
    <t>331700.05.01</t>
  </si>
  <si>
    <t>Введение в теорию биолог.таксономии: Моногр. /В.В.Зуев-М.:НИЦ ИНФРА-М,2023.-168с.(Научная мысль)(о)</t>
  </si>
  <si>
    <t>ВВЕДЕНИЕ В ТЕОРИЮ БИОЛОГИЧЕСКОЙ ТАКСОНОМИИ</t>
  </si>
  <si>
    <t>Зуев В.В.</t>
  </si>
  <si>
    <t>978-5-16-010628-1</t>
  </si>
  <si>
    <t>06.03.01, 06.03.02, 06.04.01, 06.04.02, 06.05.01, 06.06.01, 06.07.01</t>
  </si>
  <si>
    <t>Новосибирский национальный исследовательский государственный университет</t>
  </si>
  <si>
    <t>658921.07.01</t>
  </si>
  <si>
    <t>Введение в теорию радиолокационных систем: Моногр. / Ботов М.И. - М.:НИЦ ИНФРА-М, СФУ,2025. - 394 с.(П)</t>
  </si>
  <si>
    <t>ВВЕДЕНИЕ В ТЕОРИЮ РАДИОЛОКАЦИОННЫХ СИСТЕМ</t>
  </si>
  <si>
    <t>Ботов М.И., Вяхирев В.А., Девотчак В.В. и др.</t>
  </si>
  <si>
    <t>978-5-16-017812-7</t>
  </si>
  <si>
    <t>Автоматика. Радиоэлектроника. Связь</t>
  </si>
  <si>
    <t>11.04.01, 11.04.03, 11.04.04, 11.05.01, 11.05.02, 11.06.01</t>
  </si>
  <si>
    <t>091250.07.01</t>
  </si>
  <si>
    <t>Введение в философию права: Курс лекций / Ю.В. Сорокина - М.: Норма:ИНФРА-М, 2022 - 336 с. (О)</t>
  </si>
  <si>
    <t>ВВЕДЕНИЕ В ФИЛОСОФИЮ ПРАВА</t>
  </si>
  <si>
    <t>Курс лекций для студентов юридических вузов и факультетов</t>
  </si>
  <si>
    <t>978-5-91768-200-6</t>
  </si>
  <si>
    <t>0108</t>
  </si>
  <si>
    <t>690036.03.01</t>
  </si>
  <si>
    <t>Векторные задачи на графах с недетерминир. входными: Моногр. / Ф.Б.Тебуева-М.:ИЦ РИОР,НИЦ ИНФРА-М,2020-234с(О)</t>
  </si>
  <si>
    <t>ВЕКТОРНЫЕ ЗАДАЧИ НА ГРАФАХ С НЕДЕТЕРМИНИРОВАННЫМИ ВХОДНЫМИ ПАРАМЕТРАМИ</t>
  </si>
  <si>
    <t>Тебуева Ф.Б., Петренко В.И.</t>
  </si>
  <si>
    <t>978-5-369-01809-5</t>
  </si>
  <si>
    <t>01.04.01, 01.04.02, 01.04.04, 01.06.01</t>
  </si>
  <si>
    <t>446600.11.01</t>
  </si>
  <si>
    <t>Великая депрессия и великая реформа...: Моногр. / Р.М.Нуреев - М.:Юр.Норма,НИЦ ИНФРА-М,2026 - 224 с.(П)</t>
  </si>
  <si>
    <t>ВЕЛИКАЯ ДЕПРЕССИЯ И ВЕЛИКАЯ РЕФОРМА (УСПЕХИ И ПРОВАЛЫ ЭКОНОМИЧЕСКОЙ ПОЛИТИКИ Ф.Д.РУЗВЕЛЬТА)</t>
  </si>
  <si>
    <t>Нуреев Р.М., Латов Ю.В.</t>
  </si>
  <si>
    <t>978-5-91768-668-4</t>
  </si>
  <si>
    <t>38.03.01, 38.03.04, 38.04.01, 38.04.04, 40.03.01, 44.03.01, 44.03.05</t>
  </si>
  <si>
    <t>825759.03.01</t>
  </si>
  <si>
    <t>Великие настав. рос. учительства ХVIII- XIX в.: Моногр. / М.В.Богуславский - М.:НИЦ ИНФРА-М,2025 - 213с(п)</t>
  </si>
  <si>
    <t>ВЕЛИКИЕ НАСТАВНИКИ РОССИЙСКОГО УЧИТЕЛЬСТВА ХVIII- XIX ВЕКОВ</t>
  </si>
  <si>
    <t>Богуславский М.В.</t>
  </si>
  <si>
    <t>978-5-16-019898-9</t>
  </si>
  <si>
    <t>44.00.00, 44.03.01, 44.03.05, 44.04.01, 44.04.02, 44.04.04, 44.06.01</t>
  </si>
  <si>
    <t>Институт содержания и методов обучения им. В.С. Леднева</t>
  </si>
  <si>
    <t>674513.08.01</t>
  </si>
  <si>
    <t>Вентиляция и качество воздуха в зданиях гор. среды: Моногр. / Н.А.Литвинова - М.:НИЦ ИНФРА-М,2026. - 175 с.(О)</t>
  </si>
  <si>
    <t>ВЕНТИЛЯЦИЯ И КАЧЕСТВО ВОЗДУХА В ЗДАНИЯХ ГОРОДСКОЙ СРЕДЫ</t>
  </si>
  <si>
    <t>Литвинова Н.А.</t>
  </si>
  <si>
    <t>978-5-16-013768-1</t>
  </si>
  <si>
    <t>08.02.13, 08.03.01, 08.04.01, 08.05.01</t>
  </si>
  <si>
    <t>105950.08.01</t>
  </si>
  <si>
    <t>Верхняя палата соврем. парламента: срав.-правовое.. /В.Е.Чиркин -М.:Юр.Норма, НИЦ ИНФРА-М,2024-144с.(О)</t>
  </si>
  <si>
    <t>ВЕРХНЯЯ ПАЛАТА СОВРЕМЕННОГО ПАРЛАМЕНТА</t>
  </si>
  <si>
    <t>Чиркин В.Е.</t>
  </si>
  <si>
    <t>978-5-91768-770-4</t>
  </si>
  <si>
    <t>38.03.04, 40.03.01, 40.04.01, 44.03.05</t>
  </si>
  <si>
    <t>404100.10.01</t>
  </si>
  <si>
    <t>Верховный суд США: Судеб. прав. политика от Дж. Джея... / А.Ю.Саломатин - 2 изд. - М.:ИЦ РИОР,НИЦ ИНФРА-М, 2026 - 139 с.(о)</t>
  </si>
  <si>
    <t>ВЕРХОВНЫЙ СУД США: СУДЕБНАЯ ПРАВОВАЯ ПОЛИТИКА ОТ ДЖ. ДЖЕЯ ДО ДЖ. РОБЕРТСА, ИЗД.2</t>
  </si>
  <si>
    <t>Саломатин А.Ю.</t>
  </si>
  <si>
    <t>978-5-369-01211-6</t>
  </si>
  <si>
    <t>40.03.01, 40.04.01, 41.03.04, 41.04.04, 44.03.05, 46.03.01, 46.04.01</t>
  </si>
  <si>
    <t>Пензенский государственный университет</t>
  </si>
  <si>
    <t>745016.01.01</t>
  </si>
  <si>
    <t>Вестиментарный код международ. общения: Моногр. / Л.О.Терновая-М.:НИЦ ИНФРА-М,2021.-249 с.(Науч.мысль)(О)</t>
  </si>
  <si>
    <t>ВЕСТИМЕНТАРНЫЙ КОД МЕЖДУНАРОДНОГО ОБЩЕНИЯ</t>
  </si>
  <si>
    <t>Терновая Л.О.</t>
  </si>
  <si>
    <t>978-5-16-016644-5</t>
  </si>
  <si>
    <t>39.06.01, 41.03.04, 41.03.05, 41.04.04, 41.04.05, 41.06.01, 51.06.01</t>
  </si>
  <si>
    <t>Московский автомобильно-дорожный государственный технический университет</t>
  </si>
  <si>
    <t>641478.06.01</t>
  </si>
  <si>
    <t>Ветеринарно-санитарная экспертиза рыбы и рыбопродуктов: Спр. / Т.И.Дячук-М.:НИЦ ИНФРА-М,2023-366с(П)</t>
  </si>
  <si>
    <t>ВЕТЕРИНАРНО-САНИТАРНАЯ ЭКСПЕРТИЗА РЫБЫ И РЫБОПРОДУКТОВ</t>
  </si>
  <si>
    <t>Дячук Т.И.</t>
  </si>
  <si>
    <t>978-5-16-012329-5</t>
  </si>
  <si>
    <t>19.02.11, 19.02.12, 35.01.32, 35.02.09, 36.02.03, 36.03.01, 36.04.01</t>
  </si>
  <si>
    <t>Допущено  Министерством сельского хозяйства Российской Федерации в качестве учебного пособия для студентов, обучающихся по специальностям 36.03.01 «Ветеринарно-санитарная экспертиза» и 36.05.01 «Ветеринария»</t>
  </si>
  <si>
    <t>Новосибирский химико-технологический колледж им. Д.И. Менделеева</t>
  </si>
  <si>
    <t>798005.02.01</t>
  </si>
  <si>
    <t>Ветроагрегаты с оптимал. управ. выработки электроэнергии / В.И.Буяльский-М.:НИЦ ИНФРА-М,2023.-182 с.(о)</t>
  </si>
  <si>
    <t>ВЕТРОАГРЕГАТЫ С ОПТИМАЛЬНЫМ УПРАВЛЕНИЕМ ВЫРАБОТКИ ЭЛЕКТРОЭНЕРГИИ</t>
  </si>
  <si>
    <t>Буяльский В.И.</t>
  </si>
  <si>
    <t>978-5-16-018259-9</t>
  </si>
  <si>
    <t>13.04.02, 13.04.03, 13.06.01</t>
  </si>
  <si>
    <t>Севастопольский колледж информационных технологий и промышленности</t>
  </si>
  <si>
    <t>665726.03.01</t>
  </si>
  <si>
    <t>Вещное право проживания: Моногр. / Д.А.Формакидов -М.:НИЦ ИНФРА-М,2022.-142 с..-(Науч.мысль)(О)</t>
  </si>
  <si>
    <t>ВЕЩНОЕ ПРАВО ПРОЖИВАНИЯ</t>
  </si>
  <si>
    <t>Формакидов Д.А.</t>
  </si>
  <si>
    <t>978-5-16-013613-4</t>
  </si>
  <si>
    <t>185250.13.01</t>
  </si>
  <si>
    <t>Вещные иски: проблемы теории и практики: Моногр. / А.А.Новоселова - М.:НИЦ ИНФРА-М, 2025 - 279 с.(о)</t>
  </si>
  <si>
    <t>ВЕЩНЫЕ ИСКИ: ПРОБЛЕМЫ ТЕОРИИ И ПРАКТИКИ</t>
  </si>
  <si>
    <t>Новоселова А. А., Подшивалов Т. П.</t>
  </si>
  <si>
    <t>978-5-16-005589-3</t>
  </si>
  <si>
    <t>Российский государственный университет правосудия г. Москва им. В.М. Лебедева</t>
  </si>
  <si>
    <t>664063.03.01</t>
  </si>
  <si>
    <t>Взаимные инвестиции стран Персидского залива и СНГ: Моногр. / А.З.Нагимова-М.:НИЦ ИНФРА-М,2019-208с</t>
  </si>
  <si>
    <t>ВЗАИМНЫЕ ИНВЕСТИЦИИ СТРАН ПЕРСИДСКОГО ЗАЛИВА И СНГ</t>
  </si>
  <si>
    <t>Нагимова А.З.</t>
  </si>
  <si>
    <t>978-5-16-013372-0</t>
  </si>
  <si>
    <t>Уфимский государственный нефтяной технический университет</t>
  </si>
  <si>
    <t>782869.02.01</t>
  </si>
  <si>
    <t>Взаимовлияние трансп. инфраструктуры и чел. развития: Моногр. / М.В.Сергеева - М.:НИЦ ИНФРА-М,2026 - 218 с.(П)</t>
  </si>
  <si>
    <t>ВЗАИМОВЛИЯНИЕ ТРАНСПОРТНОЙ ИНФРАСТРУКТУРЫ И ЧЕЛОВЕЧЕСКОГО РАЗВИТИЯ</t>
  </si>
  <si>
    <t>Сергеева М.В.</t>
  </si>
  <si>
    <t>978-5-16-017822-6</t>
  </si>
  <si>
    <t>730437.04.01</t>
  </si>
  <si>
    <t>Взаимодействие антигенов с антителами и с...: Моногр. / Н.Г.Титова - М.:НИЦ ИНФРА-М,2025  - 186 с.(П)</t>
  </si>
  <si>
    <t>ВЗАИМОДЕЙСТВИЕ АНТИГЕНОВ С АНТИТЕЛАМИ И С ИММУНОКОМПЕТЕНТНЫМИ КЛЕТКАМИ (КОЛИЧЕСТВЕННЫЕ АСПЕКТЫ)</t>
  </si>
  <si>
    <t>Титова Н.Г.</t>
  </si>
  <si>
    <t>978-5-16-015943-0</t>
  </si>
  <si>
    <t>30.05.01, 31.05.01, 31.05.02, 31.05.03, 32.05.01</t>
  </si>
  <si>
    <t>Научно-исследовательский институт вакцин и сывороток им. И.И. Мечникова</t>
  </si>
  <si>
    <t>707071.03.01</t>
  </si>
  <si>
    <t>Взаимодействие педагог. науки и системы...: Моногр. / Я.С.Турбовской - М.:НИЦ ИНФРА-М,2025  - 276 с.(П)</t>
  </si>
  <si>
    <t>ВЗАИМОДЕЙСТВИЕ ПЕДАГОГИЧЕСКОЙ НАУКИ И СИСТЕМЫ ОТЕЧЕСТВЕННОГО ОБРАЗОВАНИЯ КАК УПРАВЛЯЕМЫЙ ПРОЦЕСС</t>
  </si>
  <si>
    <t>Турбовской Я.С.</t>
  </si>
  <si>
    <t>978-5-16-015250-9</t>
  </si>
  <si>
    <t>44.04.01, 44.04.02, 44.04.03, 44.04.04, 44.05.01</t>
  </si>
  <si>
    <t>769547.01.01</t>
  </si>
  <si>
    <t>Взаимодействие правоохр. органов по обеспечению нац. безоп..: Моногр. / Р.Г.Миронов-М.:НИЦ ИНФРА-М,2022-183с.(П)</t>
  </si>
  <si>
    <t>ВЗАИМОДЕЙСТВИЕ ПРАВООХРАНИТЕЛЬНЫХ ОРГАНОВ ПО ОБЕСПЕЧЕНИЮ НАЦИОНАЛЬНОЙ БЕЗОПАСНОСТИ</t>
  </si>
  <si>
    <t>Миронов Р.Г.</t>
  </si>
  <si>
    <t>978-5-16-017549-2</t>
  </si>
  <si>
    <t>40.03.01, 40.04.01, 40.05.01, 40.06.01</t>
  </si>
  <si>
    <t>Восточная экономико-юридическая гуманитарная академия</t>
  </si>
  <si>
    <t>485650.06.01</t>
  </si>
  <si>
    <t>Взаимосвязь контроллинга и упр.учета: Моногр. / Ю.И.Сигидов-М.:НИЦ ИНФРА-М,2024-168с.(Науч.мысль)(о)</t>
  </si>
  <si>
    <t>ВЗАИМОСВЯЗЬ КОНТРОЛЛИНГА И УПРАВЛЕНЧЕСКОГО УЧЕТА</t>
  </si>
  <si>
    <t>Сигидов Ю.И., Рыбянцева М.С.</t>
  </si>
  <si>
    <t>978-5-16-010589-5</t>
  </si>
  <si>
    <t>38.03.01, 38.03.02, 38.03.03, 41.03.06</t>
  </si>
  <si>
    <t>187250.05.01</t>
  </si>
  <si>
    <t>Взимание НДС: межд. практ.и рос.нормы: Моногр. / К.К.Семкин-М.:Магистр, НИЦ ИНФРА-М,2024-160с.(О)</t>
  </si>
  <si>
    <t>ВЗИМАНИЕ НДС: МЕЖДУНАРОДНАЯ ПРАКТИКА И РОССИЙСКИЕ НОРМЫ</t>
  </si>
  <si>
    <t>Семкин К. К., Медведева О. В., Семкина Т. И.</t>
  </si>
  <si>
    <t>978-5-9776-0237-2</t>
  </si>
  <si>
    <t>38.03.01, 38.03.02, 38.03.03, 38.03.04, 38.03.05, 38.03.06, 38.03.07, 38.04.01, 38.04.02, 38.04.03, 38.04.04, 38.04.05, 38.04.06, 38.04.07, 38.04.08, 38.04.09, 38.05.01, 38.05.02, 44.03.01, 44.03.05</t>
  </si>
  <si>
    <t>Научно-исследователький финансовый институт Министерства финансов Российской Федерации</t>
  </si>
  <si>
    <t>644533.10.01</t>
  </si>
  <si>
    <t>Взлеты и падения гениев науки: практ. по метод. науки: Моногр. / В.А.Канке - М.:НИЦ ИНФРА-М,2025 - 190 с.(П)</t>
  </si>
  <si>
    <t>ВЗЛЕТЫ И ПАДЕНИЯ ГЕНИЕВ НАУКИ. НАУЧНО-ПОПУЛЯРНЫЕ ОЧЕРКИ</t>
  </si>
  <si>
    <t>Канке В.А.</t>
  </si>
  <si>
    <t>978-5-16-012428-5</t>
  </si>
  <si>
    <t>47.03.01</t>
  </si>
  <si>
    <t>Национальный исследовательский ядерный университет "МИФИ"</t>
  </si>
  <si>
    <t>405000.07.01</t>
  </si>
  <si>
    <t>Вибрационная болезнь: Моногр. / С.А.Бабанов - М.:Вуз. уч., НИЦ ИНФРА-М,2025 - 160 с.(Науч. книга)(О)</t>
  </si>
  <si>
    <t>ВИБРАЦИОННАЯ БОЛЕЗНЬ</t>
  </si>
  <si>
    <t>Бабанов С.А., Азовскова Т.А., Вакурова Н.В. и др.</t>
  </si>
  <si>
    <t>978-5-9558-0498-9</t>
  </si>
  <si>
    <t>31.05.01, 31.05.02, 32.05.01</t>
  </si>
  <si>
    <t>834527.02.01</t>
  </si>
  <si>
    <t>Видные настав. рос. учительства второй половины ХХ в. / М.В.Богуславский - М.:НИЦ ИНФРА-М,2026. - 153 с.(п)</t>
  </si>
  <si>
    <t>ВИДНЫЕ НАСТАВНИКИ РОССИЙСКОГО УЧИТЕЛЬСТВА ВТОРОЙ ПОЛОВИНЫ ХХ ВЕКА</t>
  </si>
  <si>
    <t>978-5-16-020838-1</t>
  </si>
  <si>
    <t>44.03.01, 44.03.03, 44.03.05, 44.04.01, 44.04.02, 44.04.03, 44.04.04, 44.06.01</t>
  </si>
  <si>
    <t>796035.04.01</t>
  </si>
  <si>
    <t>Видовое и породное биоразнообразие круп. рог. скота / Е.Я.Лебедько - М.:НИЦ ИНФРА-М,2026. - 367 с.(п)</t>
  </si>
  <si>
    <t>ВИДОВОЕ И ПОРОДНОЕ БИОРАЗНООБРАЗИЕ КРУПНОГО РОГАТОГО СКОТА</t>
  </si>
  <si>
    <t>Лебедько Е.Я.</t>
  </si>
  <si>
    <t>978-5-16-018238-4</t>
  </si>
  <si>
    <t>35.03.07, 36.02.01, 36.02.03, 36.03.02</t>
  </si>
  <si>
    <t>Брянский государственный аграрный университет</t>
  </si>
  <si>
    <t>АКАДЕМУС-2022, Победитель, I место</t>
  </si>
  <si>
    <t>733987.06.01</t>
  </si>
  <si>
    <t>Византия и Русь. Статус гос. как отражение..: Моногр. / Д.А.Казанцев - М.:НИЦ ИНФРА-М,2025 - 210с(О)</t>
  </si>
  <si>
    <t>ВИЗАНТИЯ И РУСЬ. СТАТУС ГОСУДАРЯ КАК ОТРАЖЕНИЕ ПОЛИТИЧЕСКОЙ КУЛЬТУРЫ (КОНЕЦ IX - НАЧАЛО XVI ВЕКА)</t>
  </si>
  <si>
    <t>Казанцев Д.А.</t>
  </si>
  <si>
    <t>978-5-16-016263-8</t>
  </si>
  <si>
    <t>00.05.04</t>
  </si>
  <si>
    <t>Центр развития экономики</t>
  </si>
  <si>
    <t>734008.01.01</t>
  </si>
  <si>
    <t>Виктимологические аспекты насильств. преступ. в семейно-бытовой сфере / Е.В.Бочкарева-М.:НИЦ ИНФРА-М,2021.-135 с.(О)</t>
  </si>
  <si>
    <t>ВИКТИМОЛОГИЧЕСКИЕ АСПЕКТЫ НАСИЛЬСТВЕННОЙ ПРЕСТУПНОСТИ В СЕМЕЙНО-БЫТОВОЙ СФЕРЕ</t>
  </si>
  <si>
    <t>Бочкарева Е.В.</t>
  </si>
  <si>
    <t>978-5-16-016154-9</t>
  </si>
  <si>
    <t>37.05.01, 40.04.01, 40.06.01</t>
  </si>
  <si>
    <t>Институт международного права и экономики им. А.С. Грибоедова</t>
  </si>
  <si>
    <t>407750.06.01</t>
  </si>
  <si>
    <t>Виндикационное правоотношение: Моногр. / С.А.Краснова - М.:НИЦ ИНФРА-М,2025. - 136 с.(Науч. мысль)(О)</t>
  </si>
  <si>
    <t>ВИНДИКАЦИОННОЕ ПРАВООТНОШЕНИЕ</t>
  </si>
  <si>
    <t>Краснова С. А.</t>
  </si>
  <si>
    <t>978-5-16-006380-5</t>
  </si>
  <si>
    <t>38.03.04, 40.03.01, 40.04.01, 44.03.05, 46.03.02</t>
  </si>
  <si>
    <t>Российский экономический университет им. Г.В. Плеханова, Кемеровский институт ф-л</t>
  </si>
  <si>
    <t>149750.09.01</t>
  </si>
  <si>
    <t>Виндикация: юрид.природа и проблемы реал.: Моногр. /Д.В.Лоренц -М.:НИЦ ИНФРА-М,2023-164с(Науч.мысль)(О)</t>
  </si>
  <si>
    <t>ВИНДИКАЦИЯ: ЮРИДИЧЕСКАЯ ПРИРОДА И ПРОБЛЕМЫ РЕАЛИЗАЦИИ</t>
  </si>
  <si>
    <t>Лоренц Д.В.</t>
  </si>
  <si>
    <t>978-5-16-004845-1</t>
  </si>
  <si>
    <t>659708.06.01</t>
  </si>
  <si>
    <t>Виртуализация современных финансов: Моногр. / М.А.Сажина-М.:ИД ФОРУМ,НИЦ ИНФРА-М,2021-120с(О)</t>
  </si>
  <si>
    <t>ВИРТУАЛИЗАЦИЯ СОВРЕМЕННЫХ ФИНАНСОВ</t>
  </si>
  <si>
    <t>Сажина М.А.</t>
  </si>
  <si>
    <t>978-5-8199-0820-4</t>
  </si>
  <si>
    <t>803215.01.01</t>
  </si>
  <si>
    <t>Виртуальная проф. практика для студентов-дефектологов: Моногр. / Т.В.Николаева-М.:НИЦ ИНФРА-М,2024.-160 с.(п)</t>
  </si>
  <si>
    <t>ВИРТУАЛЬНАЯ ПРОФЕССИОНАЛЬНАЯ ПРАКТИКА ДЛЯ СТУДЕНТОВ-ДЕФЕКТОЛОГОВ</t>
  </si>
  <si>
    <t>Николаева Т.В.</t>
  </si>
  <si>
    <t>978-5-16-019234-5</t>
  </si>
  <si>
    <t>44.03.03, 44.04.03, 44.06.01</t>
  </si>
  <si>
    <t>Институт коррекционной педагогики</t>
  </si>
  <si>
    <t>802976.03.01</t>
  </si>
  <si>
    <t>Виртуальное коммуникационное пространство: взаимодействие..: Моногр. / А.Б.Ромашкина - М.:НИЦ ИНФРА-М,2026. - 231 с.(о)</t>
  </si>
  <si>
    <t>ВИРТУАЛЬНОЕ КОММУНИКАЦИОННОЕ ПРОСТРАНСТВО: ВЗАИМОДЕЙСТВИЕ ВЛАСТИ И ОБЩЕСТВА</t>
  </si>
  <si>
    <t>Ромашкина А.Б.</t>
  </si>
  <si>
    <t>978-5-16-018593-4</t>
  </si>
  <si>
    <t>41.04.04, 41.06.01</t>
  </si>
  <si>
    <t>662960.07.01</t>
  </si>
  <si>
    <t>Витте С.Ю. - выдающийся железнодорожник: Моногр./Д.Ю.Левин-М.:НИЦ ИНФРА-М,2024-418 с.(Науч.мысль)(П)</t>
  </si>
  <si>
    <t>ВИТТЕ С.Ю. - ВЫДАЮЩИЙСЯ ЖЕЛЕЗНОДОРОЖНИК</t>
  </si>
  <si>
    <t>Левин Д.Ю.</t>
  </si>
  <si>
    <t>978-5-16-013021-7</t>
  </si>
  <si>
    <t>23.05.01, 23.05.03, 23.05.04, 23.05.05, 23.05.06, 23.06.01</t>
  </si>
  <si>
    <t>683866.06.01</t>
  </si>
  <si>
    <t>Властные механизмы обеспеч.военной безоп.РФ: Моногр. / А.А.Ковалев - М.:ИЦ РИОР, НИЦ ИНФРА-М,2025 - 256 с.(О)</t>
  </si>
  <si>
    <t>ВЛАСТНЫЕ МЕХАНИЗМЫ ОБЕСПЕЧЕНИЯ ВОЕННОЙ БЕЗОПАСНОСТИ РФ</t>
  </si>
  <si>
    <t>Ковалев А.А., Шамахов В.А.</t>
  </si>
  <si>
    <t>978-5-369-01789-0</t>
  </si>
  <si>
    <t>40.05.01, 40.06.01, 56.04.01</t>
  </si>
  <si>
    <t>684194.02.01</t>
  </si>
  <si>
    <t>Власть и общество в развитии общего образования в Рос.: Моногр. / А.В.Овчинников.-М.:НИЦ ИНФРА-М,2019.-230с(П)</t>
  </si>
  <si>
    <t>ВЛАСТЬ И ОБЩЕСТВО В РАЗВИТИИ ОБЩЕГО ОБРАЗОВАНИЯ В РОССИИ (XIX - КОНЕЦ XX ВЕКА)</t>
  </si>
  <si>
    <t>Овчинников А.В., Козлова Г.Н., Петухова И.В.</t>
  </si>
  <si>
    <t>978-5-16-014098-8</t>
  </si>
  <si>
    <t>44.03.04, 44.03.05, 44.04.01, 44.04.02, 44.04.03, 44.04.04</t>
  </si>
  <si>
    <t>294900.11.01</t>
  </si>
  <si>
    <t>Влияние гражданского права на налог. отнош.: моногр. / А.А.Рябов - М.:Юр. НОРМА, НИЦ ИНФРА-М,2025. - 224 с.(о)</t>
  </si>
  <si>
    <t>ВЛИЯНИЕ ГРАЖДАНСКОГО ПРАВА НА НАЛОГОВЫЕ ОТНОШЕНИЯ</t>
  </si>
  <si>
    <t>Рябов А. А.</t>
  </si>
  <si>
    <t>978-5-91768-524-3</t>
  </si>
  <si>
    <t>38.03.04, 40.03.01, 44.03.05</t>
  </si>
  <si>
    <t>682762.01.01</t>
  </si>
  <si>
    <t>Влияние регионов гос. внешнюю политику и междунар.соглашения: Моногр. -М.:Юр.Норма,2018-224с(П)</t>
  </si>
  <si>
    <t>ВЛИЯНИЕ РЕГИОНОВ ГОСУДАРСТВ НА ВНЕШНЮЮ ПОЛИТИКУ И МЕЖДУНАРОДНЫЕ СОГЛАШЕНИЯ</t>
  </si>
  <si>
    <t>Дубровина О.Ю.</t>
  </si>
  <si>
    <t>Переплет 7 + 1 тиснение</t>
  </si>
  <si>
    <t>978-5-91768-915-9</t>
  </si>
  <si>
    <t>41.03.04, 41.04.04, 41.06.01</t>
  </si>
  <si>
    <t>658859.04.01</t>
  </si>
  <si>
    <t>Влияние системы факторов на развитие угол.-исп. политики:Моногр. /Селиверстов В.И.-М.:НИЦ ИНФРА-М,2023-208с</t>
  </si>
  <si>
    <t>ВЛИЯНИЕ СИСТЕМЫ ФАКТОРОВ НА РАЗВИТИЕ УГОЛОВНО-ИСПОЛНИТЕЛЬНОЙ ПОЛИТИКИ И УГОЛОВНО-ИСПОЛНИТЕЛЬНОГО ЗАКОНОДАТЕЛЬСТВА РОССИЙСКОЙ ФЕДЕРАЦИИ</t>
  </si>
  <si>
    <t>Грушин Ф.В.,</t>
  </si>
  <si>
    <t>978-5-16-012921-1</t>
  </si>
  <si>
    <t>40.03.01, 40.04.01, 40.05.01, 40.05.02</t>
  </si>
  <si>
    <t>Научно-исследовательский институт Федеральной службы исполнения наказаний</t>
  </si>
  <si>
    <t>832688.01.01</t>
  </si>
  <si>
    <t>Влияние современных способов обработки и стерилизации...: Моногр./ Л.Ч.Бурак-М.:НИЦ ИНФРА-М,2025.-236с.(П)</t>
  </si>
  <si>
    <t>ВЛИЯНИЕ СОВРЕМЕННЫХ СПОСОБОВ ОБРАБОТКИ И СТЕРИЛИЗАЦИИ НА КАЧЕСТВО ПЛОДООВОЩНОГО СЫРЬЯ И СОКОВОЙ ПРОДУКЦИИ</t>
  </si>
  <si>
    <t>Бурак Л.Ч.</t>
  </si>
  <si>
    <t>978-5-16-020036-1</t>
  </si>
  <si>
    <t>19.04.01, 19.04.05, 35.03.07</t>
  </si>
  <si>
    <t>Белросаква ООО</t>
  </si>
  <si>
    <t>365100.09.01</t>
  </si>
  <si>
    <t>Влияние соц.медиа на поведение потребит.в индустр.: Моногр. / С.П.Казаков - ИЦ РИОР,НИЦ ИНФРА-М,2024-98с.(О)</t>
  </si>
  <si>
    <t>ВЛИЯНИЕ СОЦИАЛЬНЫХ МЕДИА НА ПОВЕДЕНИЕ ПОТРЕБИТЕЛЕЙ В ИНДУСТРИИ ГОСТЕПРИИМСТВА И В ТУРИЗМЕ</t>
  </si>
  <si>
    <t>С.П.Казаков</t>
  </si>
  <si>
    <t>978-5-369-01453-0</t>
  </si>
  <si>
    <t>38.03.02, 38.04.02, 43.03.01, 43.03.02, 43.03.03, 43.04.01, 43.04.02, 43.04.03</t>
  </si>
  <si>
    <t>645476.09.01</t>
  </si>
  <si>
    <t>Внедоговорные обязат.в межд.част.праве: Моногр. / И.О.Хлестова - М.:Юр.Норма,НИЦ ИНФРА-М,2024-160c.(П)</t>
  </si>
  <si>
    <t>ВНЕДОГОВОРНЫЕ ОБЯЗАТЕЛЬСТВА В МЕЖДУНАРОДНОМ ЧАСТНОМ ПРАВЕ</t>
  </si>
  <si>
    <t>Хлестова И.О., Борисов В.Б., Власова Н.В. и др.</t>
  </si>
  <si>
    <t>978-5-91768-786-5</t>
  </si>
  <si>
    <t>40.03.01, 40.05.01, 40.05.02, 40.05.03, 40.05.04</t>
  </si>
  <si>
    <t>689659.03.01</t>
  </si>
  <si>
    <t>Внедрение и практ.применение соврем.финан.тех.:Моногр./ Г.Ф.Ручкина-М.:НИЦ ИНФРА-М,2024-161с(О)</t>
  </si>
  <si>
    <t>ВНЕДРЕНИЕ И ПРАКТИЧЕСКОЕ ПРИМЕНЕНИЕ СОВРЕМЕННЫХ ФИНАНСОВЫХ ТЕХНОЛОГИЙ: ЗАКОНОДАТЕЛЬНОЕ РЕГУЛИРОВАНИЕ</t>
  </si>
  <si>
    <t>Ручкина Г.Ф., Березин М.Ю., Демченко М.В. и др.</t>
  </si>
  <si>
    <t>Научная мысль - 100 лет ФУ</t>
  </si>
  <si>
    <t>978-5-16-014380-4</t>
  </si>
  <si>
    <t>27.04.07, 38.04.08, 38.04.09, 40.03.01, 40.04.01, 44.03.05</t>
  </si>
  <si>
    <t>459300.09.01</t>
  </si>
  <si>
    <t>Внешнеэкономическая политика России...: Моногр. / Под ред. Ткаченко А.А.-М.:Вуз.уч.,НИЦ ИНФРА-М,2023-231 с.(О)</t>
  </si>
  <si>
    <t>ВНЕШНЕЭКОНОМИЧЕСКАЯ ПОЛИТИКА РОССИИ В УСЛОВИЯХ ГЛОБАЛЬНЫХ ВЫЗОВОВ</t>
  </si>
  <si>
    <t>Абрамов В.Л., Алексеев П.В., Джагитян Э.П. и др.</t>
  </si>
  <si>
    <t>978-5-9558-0651-8</t>
  </si>
  <si>
    <t>41.03.05, 41.04.05</t>
  </si>
  <si>
    <t>439800.03.01</t>
  </si>
  <si>
    <t>Внешний долг России: Моногр. / Н.О.Люшнина - М.: НИЦ ИНФРА-М, 2017. -132 с.. -(Научная мысль) (О)</t>
  </si>
  <si>
    <t>ВНЕШНИЙ ДОЛГ РОССИИ</t>
  </si>
  <si>
    <t>Люшнина Н.О., Николайчук О.А.</t>
  </si>
  <si>
    <t>978-5-16-011364-7</t>
  </si>
  <si>
    <t>38.03.01, 38.04.01, 38.04.08, 38.06.01</t>
  </si>
  <si>
    <t>439800.04.01</t>
  </si>
  <si>
    <t>Внешний долг России: Моногр. / Н.О.Люшнина, - 2 изд., -М.:НИЦ ИНФРА-М,2018.-132 с(Науч.мысль)(О)</t>
  </si>
  <si>
    <t>ВНЕШНИЙ ДОЛГ РОССИИ, ИЗД.2</t>
  </si>
  <si>
    <t>439800.05.01</t>
  </si>
  <si>
    <t>Внешний долг России: Моногр. / Н.О.Люшнина, - 3 изд., -М.:НИЦ ИНФРА-М,2019.-146 с(Науч.мысль)(О)</t>
  </si>
  <si>
    <t>ВНЕШНИЙ ДОЛГ РОССИИ, ИЗД.3</t>
  </si>
  <si>
    <t>Николайчук О.А., Люшнина Н.О.</t>
  </si>
  <si>
    <t>978-5-16-014673-7</t>
  </si>
  <si>
    <t>0319</t>
  </si>
  <si>
    <t>734014.05.01</t>
  </si>
  <si>
    <t>Внешняя политика Древнего Рима...: Моногр. / А.Л.Панищев - М.:НИЦ ИНФРА-М,2025 - 161 с.(О)</t>
  </si>
  <si>
    <t>ВНЕШНЯЯ ПОЛИТИКА ДРЕВНЕГО РИМА В ПЕРИОД ЦАРЕЙ И РАННЕЙ РЕСПУБЛИКИ</t>
  </si>
  <si>
    <t>Панищев А.Л.</t>
  </si>
  <si>
    <t>978-5-16-016138-9</t>
  </si>
  <si>
    <t>832509.01.01</t>
  </si>
  <si>
    <t>Внешняя торговля России в условиях санкций: Моногр. / Под ред. Руднева А.О. - М.:НИЦ ИНФРА-М,2025. - 238 с.(о)</t>
  </si>
  <si>
    <t>ВНЕШНЯЯ ТОРГОВЛЯ РОССИИ В УСЛОВИЯХ САНКЦИЙ</t>
  </si>
  <si>
    <t>Руднева А.О., Алтухов А.О., Бутенко Н.А. и др.</t>
  </si>
  <si>
    <t>978-5-16-020074-3</t>
  </si>
  <si>
    <t>Дипломатическая академия Министерства иностранных дел Российской Федерации</t>
  </si>
  <si>
    <t>134662.12.01</t>
  </si>
  <si>
    <t>Внешняя торговля: Словарь-справ. / А.О.Руднева - 2 изд. - НИЦ Инфра-М, 2025 - 222 с.(Б-ка слов. "ИНФРА-М") (п)</t>
  </si>
  <si>
    <t>ВНЕШНЯЯ ТОРГОВЛЯ: СЛОВАРЬ-СПРАВОЧНИК, ИЗД.2</t>
  </si>
  <si>
    <t>Руднева А. О.</t>
  </si>
  <si>
    <t>978-5-16-005611-1</t>
  </si>
  <si>
    <t>38.03.01, 38.03.04, 41.03.05, 44.03.05</t>
  </si>
  <si>
    <t>736621.04.01</t>
  </si>
  <si>
    <t>Внутренний аудит оценоч. резервов и обязательств...: Моногр. / Н.А.Казакова - М.:НИЦ ИНФРА-М,2025 - 184 с.(О)</t>
  </si>
  <si>
    <t>ВНУТРЕННИЙ АУДИТ ОЦЕНОЧНЫХ РЕЗЕРВОВ И ОБЯЗАТЕЛЬСТВ КАК МЕТОД ДИАГНОСТИКИ КОРПОРАТИВНЫХ РИСКОВ</t>
  </si>
  <si>
    <t>Казакова Н.А., Чикурова С.С.</t>
  </si>
  <si>
    <t>978-5-16-016249-2</t>
  </si>
  <si>
    <t>410200.09.01</t>
  </si>
  <si>
    <t>Внутренний контроль: методол. сквоз...: Моногр. /А.В.Порфирьева-М.:НИЦ ИНФРА-М,2017-152с(О)</t>
  </si>
  <si>
    <t>ВНУТРЕННИЙ КОНТРОЛЬ: МЕТОДОЛОГИЯ СКВОЗНОГО КОНТРОЛЯ АВТОНОМНЫХ УЧРЕЖДЕНИЙ</t>
  </si>
  <si>
    <t>Порфирьева А. В., Серебрякова Т. Ю.</t>
  </si>
  <si>
    <t>978-5-16-006179-5</t>
  </si>
  <si>
    <t>38.04.08</t>
  </si>
  <si>
    <t>846432.03.01</t>
  </si>
  <si>
    <t>Внутренний туризм / Л.И.Егоренков - М.:НИЦ ИНФРА-М,2026. - 193 с.(Интересно знать) (п)</t>
  </si>
  <si>
    <t>ВНУТРЕННИЙ ТУРИЗМ</t>
  </si>
  <si>
    <t>Егоренков Л.И.</t>
  </si>
  <si>
    <t>978-5-16-020496-3</t>
  </si>
  <si>
    <t>43.02.16, 43.03.02, 43.03.03, 49.03.03, 51.04.03</t>
  </si>
  <si>
    <t>Государственный Университет Просвещения</t>
  </si>
  <si>
    <t>417650.04.01</t>
  </si>
  <si>
    <t>Внутрисосудистое свертывание крови...: Моногр./А.Ш.Бышевский -М.:НИЦ ИНФРА-М,2017-68с(Науч.мысль)(о)</t>
  </si>
  <si>
    <t>ВНУТРИСОСУДИСТОЕ СВЕРТЫВАНИЕ КРОВИ, КОАГУЛОАКТИВНОСТЬ ТРОМБОЦИТОВ И ТОЛЕРАНТНОСТЬ К ТРОМБИНУ</t>
  </si>
  <si>
    <t>Бышевский А. Ш., Карпова И. А., Полякова В. А.</t>
  </si>
  <si>
    <t>978-5-16-006510-6</t>
  </si>
  <si>
    <t>Тюменский государственный медицинский университет</t>
  </si>
  <si>
    <t>708875.02.01</t>
  </si>
  <si>
    <t>ВО как ресурс управ. социокультурной модернизацией регионов/ Р.В.Леньков-М.:НИЦ ИНФРА-М,2023.-161 с.(О)</t>
  </si>
  <si>
    <t>ВЫСШЕЕ ОБРАЗОВАНИЕ КАК РЕСУРС УПРАВЛЕНИЯ СОЦИОКУЛЬТУРНОЙ МОДЕРНИЗАЦИЕЙ РЕГИОНОВ</t>
  </si>
  <si>
    <t>Леньков Р.В.</t>
  </si>
  <si>
    <t>978-5-16-016155-6</t>
  </si>
  <si>
    <t>39.04.01, 39.06.01</t>
  </si>
  <si>
    <t>Российский государственный университет социальных технологий</t>
  </si>
  <si>
    <t>788937.03.01</t>
  </si>
  <si>
    <t>Водотоки польдеров: методы исслед. и...: Монография / Ю.А.Спирин-М.:НИЦ ИНФРА-М,2023.-217 с.(о)</t>
  </si>
  <si>
    <t>ВОДОТОКИ ПОЛЬДЕРОВ: МЕТОДЫ ИССЛЕДОВАНИЙ И ГЕОЭКОЛОГИЧЕСКАЯ ОЦЕНКА</t>
  </si>
  <si>
    <t>Спирин Ю.А., Зотов С.И.</t>
  </si>
  <si>
    <t>Научная мысль БФУ</t>
  </si>
  <si>
    <t>978-5-16-018010-6</t>
  </si>
  <si>
    <t>05.04.04, 05.04.05, 05.06.01, 20.03.02, 20.06.01</t>
  </si>
  <si>
    <t>Российский государственный аграрный университет - МСХА им. К.А. Тимирязева</t>
  </si>
  <si>
    <t>694072.09.01</t>
  </si>
  <si>
    <t>Военная безопасность России и ее информ. полит...: Моногр. / А.А.Ковалев - М.:ИЦ РИОР,ИНФРА-М,2026 - 184 с.(О)</t>
  </si>
  <si>
    <t>ВОЕННАЯ БЕЗОПАСНОСТЬ РОССИИ И ЕЕ ИНФОРМАЦИОННАЯ ПОЛИТИКА В ЭПОХУ ЦИВИЛИЗАЦИОННЫХ КОНФЛИКТОВ</t>
  </si>
  <si>
    <t>978-5-369-00673-3</t>
  </si>
  <si>
    <t>38.07.02, 40.05.01, 40.06.01, 56.04.01, 56.04.12</t>
  </si>
  <si>
    <t>637303.12.01</t>
  </si>
  <si>
    <t>Военная доктрина РФ - М.:НИЦ ИНФРА-М,2025 - 22 с.(О)</t>
  </si>
  <si>
    <t>ВОЕННАЯ ДОКТРИНА РОССИЙСКОЙ ФЕДЕРАЦИИ</t>
  </si>
  <si>
    <t>Без автора</t>
  </si>
  <si>
    <t>Обложка. Внакидку</t>
  </si>
  <si>
    <t>Федеральные нормы и правила</t>
  </si>
  <si>
    <t>978-5-16-012205-2</t>
  </si>
  <si>
    <t>Закон РФ</t>
  </si>
  <si>
    <t>40.03.01, 41.03.04, 41.03.06, 41.04.04, 44.03.01, 44.03.05</t>
  </si>
  <si>
    <t>679180.07.01</t>
  </si>
  <si>
    <t>Военно-правовое исслед.участия граждан в обесп...: Моногр. / Ю.Г.Федотова - М.:НИЦ ИНФРА-М,2025 - 330 с.(О)</t>
  </si>
  <si>
    <t>ВОЕННО-ПРАВОВОЕ ИССЛЕДОВАНИЕ УЧАСТИЯ ГРАЖДАН В ОБЕСПЕЧЕНИИ ОБОРОНЫ СТРАНЫ И БЕЗОПАСНОСТИ ГОСУДАРСТВА</t>
  </si>
  <si>
    <t>978-5-16-016170-9</t>
  </si>
  <si>
    <t>38.03.04, 40.03.01, 40.04.01, 40.05.01, 40.05.02, 44.03.05, 56.04.01, 56.04.09</t>
  </si>
  <si>
    <t>АКАДЕМУС-2018, Победитель</t>
  </si>
  <si>
    <t>658930.03.01</t>
  </si>
  <si>
    <t>Военный прогресс и особ. его прояв.в трад.Запада..: Моногр. / С.В.Максимов - М.:НИЦ ИНФРА-М, СФУ,2024-254с(П)</t>
  </si>
  <si>
    <t>ВОЕННЫЙ ПРОГРЕСС И ОСОБЕННОСТИ ЕГО ПРОЯВЛЕНИЯ В ТРАДИЦИЯХ ЗАПАДА (СОЦИАЛЬНО-ФИЛОСОФСКИЙ АНАЛИЗ)</t>
  </si>
  <si>
    <t>Максимов С.В.</t>
  </si>
  <si>
    <t>978-5-16-017698-7</t>
  </si>
  <si>
    <t>47.04.01, 47.06.01, 56.04.01</t>
  </si>
  <si>
    <t>658934.03.01</t>
  </si>
  <si>
    <t>Военный прогресс: социально-философ.анализ: Моногр./ С.В.Максимов - М.:НИЦ ИНФРА-М, СФУ,2025-326с(П)</t>
  </si>
  <si>
    <t>ВОЕННЫЙ ПРОГРЕСС: СОЦИАЛЬНО-ФИЛОСОФСКИЙ АНАЛИЗ</t>
  </si>
  <si>
    <t>978-5-16-017697-0</t>
  </si>
  <si>
    <t>773884.07.01</t>
  </si>
  <si>
    <t>Возвращаясь к Чехову: Моногр. / В.Я.Звиняцковский - М.:НИЦ ИНФРА-М,2026. - 189 с.(Науч.мысль)(п)</t>
  </si>
  <si>
    <t>ВОЗВРАЩАЯСЬ К ЧЕХОВУ</t>
  </si>
  <si>
    <t>Звиняцковский В.Я.</t>
  </si>
  <si>
    <t>978-5-16-017513-3</t>
  </si>
  <si>
    <t>765631.03.01</t>
  </si>
  <si>
    <t>Возникновение и эволюция Вселенной: Моногр. / Е.К.Еськов - М.:НИЦ ИНФРА-М,2024 - 306 с.(Науч.мысль)(О)</t>
  </si>
  <si>
    <t>ВОЗНИКНОВЕНИЕ И ЭВОЛЮЦИЯ ВСЕЛЕННОЙ</t>
  </si>
  <si>
    <t>978-5-16-017425-9</t>
  </si>
  <si>
    <t>01.05.01, 03.04.01, 03.04.02, 03.05.01, 03.05.02, 14.04.02, 44.04.01</t>
  </si>
  <si>
    <t>837279.02.01</t>
  </si>
  <si>
    <t>Возрастающая отдача в бизнесе..: Моногр. / О.С.Виханский - М.:Магистр, НИЦ ИНФРА-М,2024. - 252 с.(п)</t>
  </si>
  <si>
    <t>ВОЗРАСТАЮЩАЯ ОТДАЧА В БИЗНЕСЕ: СТРАТЕГИИ УПРАВЛЕНИЯ ВЫСОКОТЕХНОЛОГИЧНЫМИ КОМПАНИЯМИ</t>
  </si>
  <si>
    <t>Виханский О.С., Каталевский Д.Ю.</t>
  </si>
  <si>
    <t>978-5-9776-0565-6</t>
  </si>
  <si>
    <t>00.03.13, 00.05.13, 38.03.01, 38.03.02, 38.04.01, 38.04.02</t>
  </si>
  <si>
    <t>Московский государственный университет им. М.В. Ломоносова, экономический факультет</t>
  </si>
  <si>
    <t>723510.06.01</t>
  </si>
  <si>
    <t>Война и мир в гибридном измерении: Моногр. / Л.О.Терновая - М.:НИЦ ИНФРА-М,2025 - 368 с.(Науч.мысль)(О)</t>
  </si>
  <si>
    <t>ВОЙНА И МИР В ГИБРИДНОМ ИЗМЕРЕНИИ</t>
  </si>
  <si>
    <t>978-5-16-015800-6</t>
  </si>
  <si>
    <t>822170.01.01</t>
  </si>
  <si>
    <t>Войска и органы правопорядка Санкт-Петербурга: Моногр. / А.А.Дерюгин - М.:НИЦ ИНФРА-М,2024.-174 с.(п)</t>
  </si>
  <si>
    <t>ВОЙСКА И ОРГАНЫ ПРАВОПОРЯДКА САНКТ-ПЕТЕРБУРГА: ИСТОРИЯ И СОВРЕМЕННОСТЬ</t>
  </si>
  <si>
    <t>Дерюгин А.А., Крижановская Г.Н., Лысенков С.Г. и др.</t>
  </si>
  <si>
    <t>978-5-16-019745-6</t>
  </si>
  <si>
    <t>40.03.01, 40.05.01, 40.05.02, 40.05.03, 40.05.04, 40.06.01</t>
  </si>
  <si>
    <t>237300.11.01</t>
  </si>
  <si>
    <t>Вооруженный конфликт немеждународ. характера..: Моногр. / М.Г.Смирнов - М.:Норма, НИЦ ИНФРА-М,2024 - 208 с(о)</t>
  </si>
  <si>
    <t>ВООРУЖЕННЫЙ КОНФЛИКТ НЕМЕЖДУНАРОДНОГО ХАРАКТЕРА: МЕЖДУНАРОДНО-ПРАВОВОЙ АСПЕКТ</t>
  </si>
  <si>
    <t>Смирнов М. Г.</t>
  </si>
  <si>
    <t>978-5-91768-432-1</t>
  </si>
  <si>
    <t>Российский государственный университет нефти и газа (НИУ) им. И.М. Губкина</t>
  </si>
  <si>
    <t>170250.09.01</t>
  </si>
  <si>
    <t>Вопросы налоговых и бюджетных правоотн. в суд..: Моногр. / Х.В.Пешкова - 2 изд. - М.:НИЦ ИНФРА-М,2025 - 253 с.(О)</t>
  </si>
  <si>
    <t>ВОПРОСЫ НАЛОГОВЫХ И БЮДЖЕТНЫХ ПРАВООТНОШЕНИЙ В СУДЕБНОЙ ПРАКТИКЕ, ИЗД.2</t>
  </si>
  <si>
    <t>Пешкова Х.В.</t>
  </si>
  <si>
    <t>978-5-16-014835-9</t>
  </si>
  <si>
    <t>38.03.01, 38.03.02, 38.03.04, 38.04.01, 38.04.02, 38.04.04, 38.04.08, 38.05.01, 38.05.02, 40.03.01, 40.04.01, 40.05.02, 40.05.03, 44.03.01, 44.03.05</t>
  </si>
  <si>
    <t>170250.06.01</t>
  </si>
  <si>
    <t>Вопросы налоговых и бюджетных правоотн. в суд..: Моногр. / Х.В.Пешкова-М.:НИЦ ИНФРА-М,2018-184с(О)</t>
  </si>
  <si>
    <t>ВОПРОСЫ НАЛОГОВЫХ И БЮДЖЕТНЫХ ПРАВООТНОШЕНИЙ В СУДЕБНОЙ ПРАКТИКЕ</t>
  </si>
  <si>
    <t>978-5-16-005298-4</t>
  </si>
  <si>
    <t>162350.16.01</t>
  </si>
  <si>
    <t>Воспитание детей в духе миролюбия в трад..: Моногр. / О.В.Коротких - М.:НИЦ ИНФРА-М,2026 - 128 с(О)</t>
  </si>
  <si>
    <t>ВОСПИТАНИЕ ДЕТЕЙ В ДУХЕ МИРОЛЮБИЯ В ТРАДИЦИЯХ НАРОДНОЙ ПЕДАГОГИКИ</t>
  </si>
  <si>
    <t>Коротких О.В.</t>
  </si>
  <si>
    <t>978-5-16-005175-8</t>
  </si>
  <si>
    <t>44.03.01, 44.03.02, 44.03.04, 44.03.05, 44.04.01, 44.04.02, 44.04.04</t>
  </si>
  <si>
    <t>800888.04.01</t>
  </si>
  <si>
    <t>Воспитание детей и молодежи: тенденции и реш.: Моногр. / И.В.Иванова. - М.:НИЦ ИНФРА-М,2025. - 183 с.(п)</t>
  </si>
  <si>
    <t>ВОСПИТАНИЕ ДЕТЕЙ И МОЛОДЕЖИ: ТЕНДЕНЦИИ И РЕШЕНИЯ</t>
  </si>
  <si>
    <t>Иванова И.В., Макарова В.А., Астахова Л.Г. и др.</t>
  </si>
  <si>
    <t>978-5-16-018627-6</t>
  </si>
  <si>
    <t>44.04.01, 44.04.02, 44.04.04, 44.05.01, 44.06.01</t>
  </si>
  <si>
    <t>Калужский государственный  университет им. К.Э. Циолковского</t>
  </si>
  <si>
    <t>643226.08.01</t>
  </si>
  <si>
    <t>Воспитание ценностных основ.личности: Моногр. / С.В.Яковлев - 2 изд. - М.:НИЦ ИНФРА-М,2024-148с(О)</t>
  </si>
  <si>
    <t>ВОСПИТАНИЕ ЦЕННОСТНЫХ ОСНОВАНИЙ ЛИЧНОСТИ, ИЗД.2</t>
  </si>
  <si>
    <t>978-5-16-010217-7</t>
  </si>
  <si>
    <t>44.04.01, 44.04.02, 44.04.03, 44.04.04, 44.06.01</t>
  </si>
  <si>
    <t>643226.09.01</t>
  </si>
  <si>
    <t>Воспитание ценностных оснований личности: Моногр. / С.В.Яковлев - 3 изд. - М.:НИЦ ИНФРА-М,2025. - 158 с.(о)</t>
  </si>
  <si>
    <t>ВОСПИТАНИЕ ЦЕННОСТНЫХ ОСНОВАНИЙ ЛИЧНОСТИ, ИЗД.3</t>
  </si>
  <si>
    <t>978-5-16-020319-5</t>
  </si>
  <si>
    <t>838554.01.01</t>
  </si>
  <si>
    <t>Воспитательна работа с осужденными, сост. на учете в угол.-исп. инспекциях... / С.И.Бякина - М.:ИНФРА-М,2025. - 164 с.(о)</t>
  </si>
  <si>
    <t>ВОСПИТАТЕЛЬНАЯ РАБОТА С ОСУЖДЕННЫМИ, СОСТОЯЩИМИ НА УЧЕТЕ В УГОЛОВНО-ИСПОЛНИТЕЛЬНЫХ ИНСПЕКЦИЯХ: ПРАВОВЫЕ И ОРГАНИЗАЦИОННЫЕ АСПЕКТЫ</t>
  </si>
  <si>
    <t>Бякина С.И., Грушин Ф.В.</t>
  </si>
  <si>
    <t>978-5-16-020330-0</t>
  </si>
  <si>
    <t>37.05.02, 37.06.01, 40.03.01, 40.04.01, 40.05.02, 40.06.01</t>
  </si>
  <si>
    <t>Самарский юридический институт Федеральной службы исполнения наказаний</t>
  </si>
  <si>
    <t>713886.03.01</t>
  </si>
  <si>
    <t>Восстановительная  терапия церебральных нарушений.../ И.В. Кунцевская — Москва : ИНФРА-М, 2023.-160с.(О)</t>
  </si>
  <si>
    <t>ВОССТАНОВИТЕЛЬНАЯ  ТЕРАПИЯ ЦЕРЕБРАЛЬНЫХ НАРУШЕНИЙ У БОЛЬНЫХ ХРОНИЧЕСКОЙ ОБСТРУКТИВНОЙ БОЛЕЗНЬЮ ЛЕГКИХ НА ЭТАПЕ САНАТОРНО-КУРОРТНОЙ РЕАБИЛИТАЦИИ</t>
  </si>
  <si>
    <t>Кунцевская И.В., Кушнир Г.М., Бобрик Ю.В.</t>
  </si>
  <si>
    <t>978-5-16-015678-1</t>
  </si>
  <si>
    <t>31.05.01, 31.08.49</t>
  </si>
  <si>
    <t>Крымский федеральный университет им. В.И. Вернадского, структурное подразделение Медицинская академия имени С.И. Георгиевского</t>
  </si>
  <si>
    <t>АКАДЕМУС, Победитель</t>
  </si>
  <si>
    <t>656313.08.01</t>
  </si>
  <si>
    <t>Восточнославянское язычество: От рождения до гибели богов / М.Н.Козлов - М.:Вуз.уч.,НИЦ ИНФРА-М,2026 - 296 с.(П)</t>
  </si>
  <si>
    <t>ВОСТОЧНОСЛАВЯНСКОЕ ЯЗЫЧЕСТВО: ОТ РОЖДЕНИЯ ДО ГИБЕЛИ БОГОВ</t>
  </si>
  <si>
    <t>Козлов М.Н.</t>
  </si>
  <si>
    <t>978-5-16-021479-5</t>
  </si>
  <si>
    <t>44.03.05, 51.03.01, 51.04.01</t>
  </si>
  <si>
    <t>818123.02.01</t>
  </si>
  <si>
    <t>Вред при медицинском вмешательстве: пробл..: Моногр. / М.В.Кратенко - М.:Юр. НОРМА, ИНФРА-М,2026 - 240 с.(п)</t>
  </si>
  <si>
    <t>ВРЕД ПРИ МЕДИЦИНСКОМ ВМЕШАТЕЛЬСТВЕ: ПРОБЛЕМЫ КОМПЕНСАЦИИ И ПРЕДОТВРАЩЕНИЯ (СРАВНИТЕЛЬНО-ПРАВОВОЕ ИССЛЕДОВАНИЕ)</t>
  </si>
  <si>
    <t>Кратенко М.В.</t>
  </si>
  <si>
    <t>978-5-00156-342-6</t>
  </si>
  <si>
    <t>31.05.01, 34.03.01, 40.03.01, 40.04.01, 40.05.02, 40.05.04, 40.06.01</t>
  </si>
  <si>
    <t>817547.01.01</t>
  </si>
  <si>
    <t>Всеволод Петрович Кащенко: Жизнь и деят. в документах и мат.: Сб. / М.А.Тимофеев-М.:НИЦ ИНФРА-М,2023.-761 с.(п)</t>
  </si>
  <si>
    <t>ВСЕВОЛОД ПЕТРОВИЧ КАЩЕНКО: ЖИЗНЬ И ДЕЯТЕЛЬНОСТЬ В ДОКУМЕНТАХ И МАТЕРИАЛАХ</t>
  </si>
  <si>
    <t>Тимофеев М.А., Кукушкина Е.А.</t>
  </si>
  <si>
    <t>978-5-16-019378-6</t>
  </si>
  <si>
    <t>Сборник документов</t>
  </si>
  <si>
    <t>44.04.03, 44.06.01, 44.07.02</t>
  </si>
  <si>
    <t>342900.08.01</t>
  </si>
  <si>
    <t>Вся физика на ладони. Интерактивный справ. / С.И.Кузнецов - М.:Вуз. уч., НИЦ ИНФРА-М,2025. - 252 с.(ВО)(П)</t>
  </si>
  <si>
    <t>ВСЯ ФИЗИКА НА ЛАДОНИ. ИНТЕРАКТИВНЫЙ СПРАВОЧНИК</t>
  </si>
  <si>
    <t>Кузнецов С.И., Рогозин К.И.</t>
  </si>
  <si>
    <t>978-5-9558-0422-4</t>
  </si>
  <si>
    <t>03.03.01, 03.03.02, 03.03.03, 04.03.01, 04.03.02, 05.03.01, 05.03.02, 05.03.03, 05.03.04, 05.03.05, 05.03.06</t>
  </si>
  <si>
    <t>Рекомендовано Межрегиональным учебно-методическим советом профессионального образования в качестве учебного пособия для студентов высших учебных заведений, обучающихся по техническим направлениям подготовки (протокол № 4 от 02.03.2020)</t>
  </si>
  <si>
    <t>Национальный исследовательский Томский политехнический университет</t>
  </si>
  <si>
    <t>741931.05.01</t>
  </si>
  <si>
    <t>Вся физика на ладони. Интерактивный справ. / С.И.Кузнецов - М.:НИЦ ИНФРА-М,2026. - 252 с.(СПО)(п)</t>
  </si>
  <si>
    <t>Среднее профессиональное образование</t>
  </si>
  <si>
    <t>978-5-16-021175-6</t>
  </si>
  <si>
    <t>Профессиональное образование / Среднее профессиональное образование</t>
  </si>
  <si>
    <t>00.02.23, 10.02.04, 25.02.01, 52.02.01, 52.02.02</t>
  </si>
  <si>
    <t>Рекомендовано Межрегиональным учебно-методическим советом профессионального образования в качестве учебного пособия для учебных заведений, реализующих основную программу среднего профессионального ¶образования по техническим специальностям (протокол № 9 от 28.09.2020)</t>
  </si>
  <si>
    <t>32</t>
  </si>
  <si>
    <t>077280.21.01</t>
  </si>
  <si>
    <t>Выбор и наладка электрооборуд.: Справ. пос. / В.К.Варварин - 3 изд. - М.:Форум, НИЦ ИНФРА-М,2024 - 238 с.(П)</t>
  </si>
  <si>
    <t>ВЫБОР И НАЛАДКА ЭЛЕКТРООБОРУДОВАНИЯ, ИЗД.3</t>
  </si>
  <si>
    <t>Варварин В. К.</t>
  </si>
  <si>
    <t>978-5-00091-451-9</t>
  </si>
  <si>
    <t>08.01.31, 08.02.09, 11.01.02, 11.01.05, 13.01.07, 13.01.10, 13.02.07, 13.02.09, 13.02.12, 13.02.13, 18.01.28, 21.01.15, 26.01.05, 26.02.04, 26.02.05, 26.02.06, 35.01.15</t>
  </si>
  <si>
    <t>0314</t>
  </si>
  <si>
    <t>670740.03.01</t>
  </si>
  <si>
    <t>Выбор и рац. экспл. буровых инструм. и станков..:Моногр. / В.Д.Буткин - М.:НИЦ ИНФРА-М, СФУ,2022 - 235 с(П)</t>
  </si>
  <si>
    <t>ВЫБОР И РАЦИОНАЛЬНАЯ ЭКСПЛУАТАЦИЯ БУРОВЫХ ИНСТРУМЕНТОВ И СТАНКОВ НА КАРЬЕРАХ</t>
  </si>
  <si>
    <t>Буткин В.Д., Гилев А.В., Нехорошев Д.Б. и др.</t>
  </si>
  <si>
    <t>978-5-16-017185-2</t>
  </si>
  <si>
    <t>21.05.03, 21.05.04</t>
  </si>
  <si>
    <t>261100.05.01</t>
  </si>
  <si>
    <t>Выбор направлений диверсификации в машиностр.: Моногр./В.Н.Еремин - ИНФРА-М, 2022-184с.(Науч. мысль) (О)</t>
  </si>
  <si>
    <t>ВЫБОР НАПРАВЛЕНИЙ ДИВЕРСИФИКАЦИИ В МАШИНОСТРОЕНИИ</t>
  </si>
  <si>
    <t>Еремин В. Н., Еремина Е. В.</t>
  </si>
  <si>
    <t>978-5-16-009513-4</t>
  </si>
  <si>
    <t>15.04.01, 15.04.02, 15.04.04, 15.04.05, 15.04.06, 38.04.01, 38.04.02</t>
  </si>
  <si>
    <t>Ивановский государственный университет</t>
  </si>
  <si>
    <t>128340.10.01</t>
  </si>
  <si>
    <t>Выборы и избират.право в зеркале суд...: Моногр. / Е.И.Колюшин - 3 изд. - М.:Юр.Норма,НИЦ ИНФРА-М,2020 - 384 с.(П)</t>
  </si>
  <si>
    <t>ВЫБОРЫ И ИЗБИРАТЕЛЬНОЕ ПРАВО В ЗЕРКАЛЕ СУДЕБНЫХ РЕШЕНИЙ, ИЗД.3</t>
  </si>
  <si>
    <t>Колюшин Е.И.</t>
  </si>
  <si>
    <t>НОРМА</t>
  </si>
  <si>
    <t>978-5-91768-866-4</t>
  </si>
  <si>
    <t>38.03.04, 40.03.01, 40.04.01, 40.05.01, 40.05.02, 40.05.03</t>
  </si>
  <si>
    <t>0317</t>
  </si>
  <si>
    <t>825874.03.01</t>
  </si>
  <si>
    <t>Выдающиеся настав. рос. учительства первой половины ХХ в. / М.В.Богуславский - М.:НИЦ ИНФРА-М,2026 - 234 с.(п)</t>
  </si>
  <si>
    <t>ВЫДАЮЩИЕСЯ НАСТАВНИКИ РОССИЙСКОГО УЧИТЕЛЬСТВА ПЕРВОЙ ПОЛОВИНЫ ХХ ВЕКА</t>
  </si>
  <si>
    <t>978-5-16-020557-1</t>
  </si>
  <si>
    <t>44.04.01, 44.04.02, 44.04.03, 44.04.04, 44.05.01, 44.06.01</t>
  </si>
  <si>
    <t>684145.06.01</t>
  </si>
  <si>
    <t>Вызов времени и ответы России: 1917 - 2017: Моногр. / Под ред. Кального И.И. - М.:НИЦ ИНФРА-М,2026. - 323 с.(о)</t>
  </si>
  <si>
    <t>ВЫЗОВ ВРЕМЕНИ И ОТВЕТЫ РОССИИ: 1917 - 2017</t>
  </si>
  <si>
    <t>Кальной И.И.</t>
  </si>
  <si>
    <t>978-5-16-020853-4</t>
  </si>
  <si>
    <t>41.03.04, 41.03.05, 41.04.04, 41.04.05, 44.03.01, 44.03.05, 46.03.01, 46.04.01</t>
  </si>
  <si>
    <t>Луганская государственная академия культуры и искусств имени М. Матусовского</t>
  </si>
  <si>
    <t>656147.04.01</t>
  </si>
  <si>
    <t>Вызовы и перспективы евразийской интеграции: Моногр. / Я.В.Калиш - М.:Вуз.уч.,НИЦ ИНФРА-М,2021-224с(П)</t>
  </si>
  <si>
    <t>ВЫЗОВЫ И ПЕРСПЕКТИВЫ ЕВРАЗИЙСКОЙ ИНТЕГРАЦИИ</t>
  </si>
  <si>
    <t>Калиш Я.В.</t>
  </si>
  <si>
    <t>978-5-9558-0565-8</t>
  </si>
  <si>
    <t>41.03.05, 41.04.04</t>
  </si>
  <si>
    <t>718568.06.01</t>
  </si>
  <si>
    <t>Высшее образование в России: вызовы времени и взгляд в будущее: Моногр. / В.И.Алешникова - М.:НИЦ ИНФРА-М,2026. - 610 с.(п)</t>
  </si>
  <si>
    <t>ВЫСШЕЕ ОБРАЗОВАНИЕ В РОССИИ: ВЫЗОВЫ ВРЕМЕНИ И ВЗГЛЯД В БУДУЩЕЕ</t>
  </si>
  <si>
    <t>Алешникова В.И., Ахметшин А.Ф., Басова В.П. и др.</t>
  </si>
  <si>
    <t>978-5-16-019406-6</t>
  </si>
  <si>
    <t>00.03.16, 00.04.16, 00.05.16, 38.04.01, 38.04.02, 38.04.03, 38.06.01, 39.04.01, 39.04.03, 39.06.01, 44.04.01</t>
  </si>
  <si>
    <t>Государственный университет управления</t>
  </si>
  <si>
    <t>751368.04.01</t>
  </si>
  <si>
    <t>Высшее положение в преступной иерархии...: Моногр. / П.А.Скобликов - М.:Юр.Норма, НИЦ ИНФРА-М,2025 - 168 с.(П)</t>
  </si>
  <si>
    <t>ВЫСШЕЕ ПОЛОЖЕНИЕ В ПРЕСТУПНОЙ ИЕРАРХИИ: УГОЛОВНЫЙ ЗАКОН, ЕГО ОСНОВАНИЯ, ТОЛКОВАНИЕ И ПРИМЕНЕНИЕ</t>
  </si>
  <si>
    <t>Скобликов П.А.</t>
  </si>
  <si>
    <t>978-5-00156-150-7</t>
  </si>
  <si>
    <t>40.03.01, 40.05.02, 40.05.04, 40.06.01</t>
  </si>
  <si>
    <t>402750.05.01</t>
  </si>
  <si>
    <t>Газоаналитическое отображ.явл.в произв.:Моногр./Н.В.Дараселия-М.:НИЦ ИНФРА-М,2024.-92 с..-(Науч.мысль)(О)</t>
  </si>
  <si>
    <t>ГАЗОАНАЛИТИЧЕСКОЕ ОТОБРАЖЕНИЕ ЯВЛЕНИЙ В ПРОИЗВОДСТВЕННЫХ ПРОЦЕССАХ</t>
  </si>
  <si>
    <t>Дараселия Н.В., Швецов И.В.</t>
  </si>
  <si>
    <t>978-5-16-006213-6</t>
  </si>
  <si>
    <t>13.03.01, 13.03.02, 13.03.03, 13.04.01, 13.04.02</t>
  </si>
  <si>
    <t>698315.05.01</t>
  </si>
  <si>
    <t>Гастрономическая геополитика: Моногр./ Л.О.Терновая - М.:НИЦ ИНФРА-М,2025 - 243 с.(Науч.мысль)(П)</t>
  </si>
  <si>
    <t>ГАСТРОНОМИЧЕСКАЯ ГЕОПОЛИТИКА</t>
  </si>
  <si>
    <t>978-5-16-014689-8</t>
  </si>
  <si>
    <t>19.04.04, 39.04.01, 39.06.01, 41.04.04, 41.06.01</t>
  </si>
  <si>
    <t>850155.01.01</t>
  </si>
  <si>
    <t>Где кончаются технологии и начинается человек..:: Моногр. / Т.Г.Лешкевич - М.:НИЦ ИНФРА-М,2025. - 221 с.(п)</t>
  </si>
  <si>
    <t>ГДЕ КОНЧАЮТСЯ ТЕХНОЛОГИИ И НАЧИНАЕТСЯ ЧЕЛОВЕК: СОЦИОГУМАНИТАРНОЕ ОСМЫСЛЕНИЕ ИСКУССТВЕННОГО ИНТЕЛЛЕКТА</t>
  </si>
  <si>
    <t>Лешкевич Т.Г.</t>
  </si>
  <si>
    <t>978-5-16-020726-1</t>
  </si>
  <si>
    <t>39.03.01, 47.03.01, 47.04.01, 47.06.01</t>
  </si>
  <si>
    <t>403750.08.01</t>
  </si>
  <si>
    <t>Гегель: Монография / В.С.Нерсесянц, - 2 изд. - М.:Юр. НОРМА, НИЦ ИНФРА-М,2025. - 112 с.(о)</t>
  </si>
  <si>
    <t>ГЕГЕЛЬ, ИЗД.2</t>
  </si>
  <si>
    <t>Нерсесянц В. С.</t>
  </si>
  <si>
    <t>978-5-91768-314-0</t>
  </si>
  <si>
    <t>322200.07.01</t>
  </si>
  <si>
    <t>Гельминтозы крупного рогатого скота / А.Н.Токарев-М.:ИЦ РИОР, НИЦ ИНФРА-М,2023.-186 с.(О)</t>
  </si>
  <si>
    <t>ГЕЛЬМИНТОЗЫ КРУПНОГО РОГАТОГО СКОТА</t>
  </si>
  <si>
    <t>Токарев А.Н., Енгашев С.В.</t>
  </si>
  <si>
    <t>978-5-369-01401-1</t>
  </si>
  <si>
    <t>06.03.01, 06.04.01</t>
  </si>
  <si>
    <t>Санкт-Петербургский Государственный Университет Ветеринарной Медицины</t>
  </si>
  <si>
    <t>707016.04.01</t>
  </si>
  <si>
    <t>Гендерная социология: женское движение...: Моногр. / Л.О.Терновая-М.:НИЦ ИНФРА-М,2023.-198 с.(Науч.мысль)(О)</t>
  </si>
  <si>
    <t>ГЕНДЕРНАЯ СОЦИОЛОГИЯ: ЖЕНСКОЕ ДВИЖЕНИЕ В ОТВЕТАХ НА «ЖЕНСКИЙ ВОПРОС»</t>
  </si>
  <si>
    <t>978-5-16-015198-4</t>
  </si>
  <si>
    <t>784858.01.01</t>
  </si>
  <si>
    <t>Генезис возникновения и развит. теории раздел. властей... / А.Г.Чернявский-М.:НИЦ ИНФРА-М,2024.-435 с.(п)</t>
  </si>
  <si>
    <t>ГЕНЕЗИС ВОЗНИКНОВЕНИЯ И РАЗВИТИЯ ТЕОРИИ РАЗДЕЛЕНИЯ ВЛАСТЕЙ ДО КОНЦА XIX ВЕКА: МЕСТО УЧЕНИЯ В НАУКЕ ГОСУДАРСТВЕННОГО ПРАВА.</t>
  </si>
  <si>
    <t>Чернявский А.Г.</t>
  </si>
  <si>
    <t>978-5-16-017847-9</t>
  </si>
  <si>
    <t>38.05.01, 40.04.01, 40.05.01, 40.05.02, 40.05.03, 40.05.04, 40.06.01</t>
  </si>
  <si>
    <t>796851.01.01</t>
  </si>
  <si>
    <t>Генезис концепта права в ист. полит.-прав. учений: Моногр./ Г.С.Працко-М.:ИЦ РИОР, НИЦ ИНФРА-М,2023-391с.(п)</t>
  </si>
  <si>
    <t>ГЕНЕЗИС КОНЦЕПТА ПРАВА В ИСТОРИИ ПОЛИТИКО-ПРАВОВЫХ УЧЕНИЙ</t>
  </si>
  <si>
    <t>Працко Г.С.</t>
  </si>
  <si>
    <t>978-5-369-01920-7</t>
  </si>
  <si>
    <t>Донской государственный технический университет</t>
  </si>
  <si>
    <t>332200.05.01</t>
  </si>
  <si>
    <t>Генезис уголовно-правового регулирования: Моногр. / В.Д.Филимонов-М.:Юр. НОРМА, НИЦ ИНФРА-М,2024.-128 с.(о)</t>
  </si>
  <si>
    <t>ГЕНЕЗИС УГОЛОВНО-ПРАВОВОГО РЕГУЛИРОВАНИЯ</t>
  </si>
  <si>
    <t>Филимонов В. Д.</t>
  </si>
  <si>
    <t>978-5-91768-585-4</t>
  </si>
  <si>
    <t>40.03.01, 44.03.05</t>
  </si>
  <si>
    <t>Национальный исследовательский Томский государственный университет</t>
  </si>
  <si>
    <t>785898.02.01</t>
  </si>
  <si>
    <t>Генетические исследования...: Моногр. / И.Р.Рустамбеков.-М.:НИЦ ИНФРА-М,2024.-139 с.(Науч.мысль)(п)</t>
  </si>
  <si>
    <t>ГЕНЕТИЧЕСКИЕ ИССЛЕДОВАНИЯ: ПРАВОВЫЕ И ЭТИЧЕСКИЕ АСПЕКТЫ</t>
  </si>
  <si>
    <t>Гулямов С.С., Рустамбеков И.Р., Мадреймова А.С.</t>
  </si>
  <si>
    <t>978-5-16-017993-3</t>
  </si>
  <si>
    <t>Ташкентский государственный юридический университет</t>
  </si>
  <si>
    <t>757867.02.01</t>
  </si>
  <si>
    <t>Геннадий Семенович Пономарев. Бесстрашный  прокурор. Кн. памяти / Под ред. Герасимова С.-М.:Юр.Норма, 2 изд/2021.-192 с.(П)</t>
  </si>
  <si>
    <t>ГЕННАДИЙ СЕМЕНОВИЧ ПОНОМАРЕВ. БЕССТРАШНЫЙ  ПРОКУРОР. КНИГА ПАМЯТИ, ИЗД.2</t>
  </si>
  <si>
    <t>Герасимов С.</t>
  </si>
  <si>
    <t>978-5-00156-191-0</t>
  </si>
  <si>
    <t>Общее</t>
  </si>
  <si>
    <t>752120.02.01</t>
  </si>
  <si>
    <t>Географическая экспертиза стратегий эконом. развития России / В.И.Блануца-М.:НИЦ ИНФРА-М,2022-198 с.(Науч.мысль)(О)</t>
  </si>
  <si>
    <t>ГЕОГРАФИЧЕСКАЯ ЭКСПЕРТИЗА СТРАТЕГИЙ ЭКОНОМИЧЕСКОГО РАЗВИТИЯ РОССИИ</t>
  </si>
  <si>
    <t>Блануца В.И.</t>
  </si>
  <si>
    <t>978-5-16-016776-3</t>
  </si>
  <si>
    <t>05.04.02, 05.06.01, 38.04.01, 38.06.01</t>
  </si>
  <si>
    <t>Институт географии им. В.Б. Сочавы Сибирского отделения Российской академии наук</t>
  </si>
  <si>
    <t>226900.10.01</t>
  </si>
  <si>
    <t>География почв: Толковый словарь / В.Д.Наумов - М.:НИЦ ИНФРА-М,2025 - 376 с.(Б-ка словарей ИНФРА-М)(П) [12+]</t>
  </si>
  <si>
    <t>ГЕОГРАФИЯ ПОЧВ</t>
  </si>
  <si>
    <t>Наумов В.Д.</t>
  </si>
  <si>
    <t>978-5-16-009015-3</t>
  </si>
  <si>
    <t>05.03.02, 05.04.02, 20.02.01, 35.02.01, 35.03.03, 35.03.04, 35.04.03, 35.04.04</t>
  </si>
  <si>
    <t>451650.06.01</t>
  </si>
  <si>
    <t>Геология и нефтегазоносность Каспийской впадины: Моногр. / С.А. Алиева - М.: НИЦ ИНФРА-М, 2026 - 486 с.(п)</t>
  </si>
  <si>
    <t>ГЕОЛОГИЯ И НЕФТЕГАЗОНОСНОСТЬ КАСПИЙСКОЙ ВПАДИНЫ</t>
  </si>
  <si>
    <t>Алиева С.А., Авербух Б.М., Серикова У.С. и др.</t>
  </si>
  <si>
    <t>978-5-16-009212-6</t>
  </si>
  <si>
    <t>05.03.01, 05.04.01, 21.05.02</t>
  </si>
  <si>
    <t>766521.03.01</t>
  </si>
  <si>
    <t>Геометрическая алгебра Клиффорда: Моногр. / Г.В.Кондратьев-М.:НИЦ ИНФРА-М,2024.-217 с.(Науч.мысль)(П)</t>
  </si>
  <si>
    <t>ГЕОМЕТРИЧЕСКАЯ АЛГЕБРА КЛИФФОРДА</t>
  </si>
  <si>
    <t>Кондратьев Г.В.</t>
  </si>
  <si>
    <t>978-5-16-017235-4</t>
  </si>
  <si>
    <t>01.03.02, 01.06.01</t>
  </si>
  <si>
    <t>742745.01.01</t>
  </si>
  <si>
    <t>Геометрия в образовании и науке: Моногр. / Н.А.Сальков-М.:НИЦ ИНФРА-М,2021.-232 с.(Науч.мысль)(О)</t>
  </si>
  <si>
    <t>ГЕОМЕТРИЯ В ОБРАЗОВАНИИ И НАУКЕ</t>
  </si>
  <si>
    <t>978-5-16-016471-7</t>
  </si>
  <si>
    <t>01.06.01, 07.06.01, 08.06.01, 15.06.01</t>
  </si>
  <si>
    <t>450868.0072.01</t>
  </si>
  <si>
    <t>Геометрия и графика, 2024, № 1</t>
  </si>
  <si>
    <t>ГЕОМЕТРИЯ И ГРАФИКА, 2024, № 1</t>
  </si>
  <si>
    <t>450868.0077.01</t>
  </si>
  <si>
    <t>Геометрия и графика, 2025, № 1</t>
  </si>
  <si>
    <t>ГЕОМЕТРИЯ И ГРАФИКА, 2025, № 1</t>
  </si>
  <si>
    <t>758140.03.01</t>
  </si>
  <si>
    <t>Геополитическая культура: Моногр. / Л.О.Терновая - М.:НИЦ ИНФРА-М,2025 - 340 с.(Науч.мысль)(О)</t>
  </si>
  <si>
    <t>ГЕОПОЛИТИЧЕСКАЯ КУЛЬТУРА</t>
  </si>
  <si>
    <t>978-5-16-017000-8</t>
  </si>
  <si>
    <t>00.03.07, 41.04.01, 41.04.03, 41.04.04, 41.04.05, 41.06.01</t>
  </si>
  <si>
    <t>714020.03.01</t>
  </si>
  <si>
    <t>Геополитическая формула воды: Моногр. / Л.О.Терновая - М.:НИЦ ИНФРА-М,2024. - 229 с.(Науч.мысль)(О)</t>
  </si>
  <si>
    <t>ГЕОПОЛИТИЧЕСКАЯ ФОРМУЛА ВОДЫ</t>
  </si>
  <si>
    <t>978-5-16-015440-4</t>
  </si>
  <si>
    <t>38.04.01, 38.05.01, 41.03.04, 41.03.05, 41.04.04, 41.04.05</t>
  </si>
  <si>
    <t>464200.04.01</t>
  </si>
  <si>
    <t>Геополитический код дороги: от караванного пути..: Моногр. / Л.О.Терновая - М:НИЦ ИНФРА-М,2021-281с(П)</t>
  </si>
  <si>
    <t>ГЕОПОЛИТИЧЕСКИЙ КОД ДОРОГИ: ОТ КАРАВАННОГО ПУТИ ДО ХАЙВЕЯ</t>
  </si>
  <si>
    <t>978-5-16-011530-6</t>
  </si>
  <si>
    <t>23.03.01, 23.03.02, 23.03.03, 23.04.01, 23.04.02, 23.04.03</t>
  </si>
  <si>
    <t>422550.09.01</t>
  </si>
  <si>
    <t>Геопоэтика: международные отношения и искусство: Моногр. / Л.О.Терновая - М.:ИНФРА-М,2026-591 с.(П)</t>
  </si>
  <si>
    <t>ГЕОПОЭТИКА: МЕЖДУНАРОДНЫЕ ОТНОШЕНИЯ И ИСКУССТВО</t>
  </si>
  <si>
    <t>Терновая Л. О.</t>
  </si>
  <si>
    <t>978-5-16-018021-2</t>
  </si>
  <si>
    <t>41.06.01, 51.06.01</t>
  </si>
  <si>
    <t>858180.01.01</t>
  </si>
  <si>
    <t>Геоэкологические проблемы и безопасность городов России: Моногр. / В.Г.Заиканов - М.:НИЦ ИНФРА-М,2025. - 320 с.(п)</t>
  </si>
  <si>
    <t>ГЕОЭКОЛОГИЧЕСКИЕ ПРОБЛЕМЫ И БЕЗОПАСНОСТЬ ГОРОДОВ РОССИИ</t>
  </si>
  <si>
    <t>Заиканов В.Г., Минакова Т.Б., Булдакова Е.В., Сависько И.С.</t>
  </si>
  <si>
    <t>978-5-16-021287-6</t>
  </si>
  <si>
    <t>05.03.02, 05.03.06, 07.04.04, 08.04.01, 21.04.02, 38.03.10, 38.04.10</t>
  </si>
  <si>
    <t>ФЕДЕРАЛЬНОЕ ГОСУДАРСТВЕННОЕ БЮДЖЕТНОЕ УЧРЕЖДЕНИЕ НАУКИ ИНСТИТУТ ГЕОЭКОЛОГИИ ИМ. Е.М.СЕРГЕЕВА РОССИЙСКОЙ АКАДЕМИИ НАУК</t>
  </si>
  <si>
    <t>646318.04.01</t>
  </si>
  <si>
    <t>Геоэкологические проблемы трансформ.рельефа..: Моногр. / П.В.Большаник - М.:НИЦ ИНФРА-М,2025 - 243 с.(О)</t>
  </si>
  <si>
    <t>ГЕОЭКОЛОГИЧЕСКИЕ ПРОБЛЕМЫ ТРАНСФОРМАЦИИ РЕЛЬЕФА УРБАНИЗИРОВАННЫХ ТЕРРИТОРИЙ (НА ПРИМЕРЕ ГОРОДОВ ЗАПАДНОЙ СИБИРИ)</t>
  </si>
  <si>
    <t>Большаник П.В., Недбай В.Н.</t>
  </si>
  <si>
    <t>978-5-16-015687-3</t>
  </si>
  <si>
    <t>05.03.06, 05.04.06</t>
  </si>
  <si>
    <t>Омский государственный педагогический университет</t>
  </si>
  <si>
    <t>742909.08.01</t>
  </si>
  <si>
    <t>Геоэкология города...: Моногр. / Под ред. Ивашкиной И.В. - М.:НИЦ ИНФРА-М,2026 - 185 с.(Науч.мысль)(О)</t>
  </si>
  <si>
    <t>ГЕОЭКОЛОГИЯ ГОРОДА: МОДЕЛИ КАЧЕСТВА СРЕДЫ</t>
  </si>
  <si>
    <t>Сокольская Е.В., Кочуров Б.И., Ивашкина И.В.</t>
  </si>
  <si>
    <t>978-5-16-016643-8</t>
  </si>
  <si>
    <t>05.03.06, 05.04.01, 05.04.06, 05.06.01</t>
  </si>
  <si>
    <t>852228.01.01</t>
  </si>
  <si>
    <t>Гибкое управ. персоналом гостиничного предприятия: Моногр. / И.С.Ключевская - М.:НИЦ ИНФРА-М,2026. - 196 с.(п)</t>
  </si>
  <si>
    <t>ГИБКОЕ УПРАВЛЕНИЕ ПЕРСОНАЛОМ ГОСТИНИЧНОГО ПРЕДПРИЯТИЯ: НОВЫЕ ПОДХОДЫ И АДАПТИВНЫЕ РЕШЕНИЯ</t>
  </si>
  <si>
    <t>Ключевская И.С.</t>
  </si>
  <si>
    <t>978-5-16-020822-0</t>
  </si>
  <si>
    <t>38.04.02, 38.04.03, 38.06.01</t>
  </si>
  <si>
    <t>Российский государственный гуманитарный университет РГГУ</t>
  </si>
  <si>
    <t>167350.11.01</t>
  </si>
  <si>
    <t>Гидрогеодинамическое моделир. взаимо...: Моногр. / С.О.Гриневский - М.:НИЦ ИНФРА-М,2023 - 153 с.(О)</t>
  </si>
  <si>
    <t>ГИДРОГЕОДИНАМИЧЕСКОЕ МОДЕЛИРОВАНИЕ ВЗАИМОДЕЙСТВИЯ ПОДЗЕМНЫХ И ПОВЕРХНОСТНЫХ ВОД</t>
  </si>
  <si>
    <t>Гриневский С. О.</t>
  </si>
  <si>
    <t>978-5-16-005256-4</t>
  </si>
  <si>
    <t>05.03.01, 05.04.01</t>
  </si>
  <si>
    <t>453350.05.01</t>
  </si>
  <si>
    <t>Гидродинамика и тепломассообмен пленочных течений...:Моногр./М.И.Шиляев - М:НИЦ ИНФРА-М,2024-198с (о)</t>
  </si>
  <si>
    <t>ГИДРОДИНАМИКА И ТЕПЛОМАССООБМЕН ПЛЕНОЧНЫХ ТЕЧЕНИЙ В ПОЛЯХ МАССОВЫХ СИЛ И ИХ ПРИЛОЖЕНИЯ</t>
  </si>
  <si>
    <t>Шиляев М. И., Толстых А. В.</t>
  </si>
  <si>
    <t>978-5-16-009291-1</t>
  </si>
  <si>
    <t>22.03.01, 22.04.01</t>
  </si>
  <si>
    <t>344600.05.01</t>
  </si>
  <si>
    <t>Гидродинамика и теплообм.в роторах и трансм..: Моногр. / Н.Н.Салов-М.:Вуз.уч.,НИЦ ИНФРА-М,2024-180с(О)</t>
  </si>
  <si>
    <t>ГИДРОДИНАМИКА И ТЕПЛООБМЕН В РОТОРАХ И ТРАНСМИССИЯХ ГАЗОТУРБИННЫХ ДВИГАТЕЛЕЙ. УМЕНЬШЕНИЕ ТЕМПЕРАТУРНЫХ НАПРЯЖЕНИЙ В ДИСКАХ</t>
  </si>
  <si>
    <t>Салов Н.Н., Харченко А.А.</t>
  </si>
  <si>
    <t>978-5-9558-0427-9</t>
  </si>
  <si>
    <t>14.05.03, 14.05.04</t>
  </si>
  <si>
    <t>849523.02.01</t>
  </si>
  <si>
    <t>Гидроклиматические расчеты в изменяющихся природ. условиях / В.А.Лобанов - М.:НИЦ ИНФРА-М,2025. - 306 с.(п)</t>
  </si>
  <si>
    <t>ГИДРОКЛИМАТИЧЕСКИЕ РАСЧЕТЫ В ИЗМЕНЯЮЩИХСЯ ПРИРОДНЫХ УСЛОВИЯХ</t>
  </si>
  <si>
    <t>Лобанов В.А.</t>
  </si>
  <si>
    <t>978-5-16-020845-9</t>
  </si>
  <si>
    <t>05.03.04, 05.03.05, 05.04.04, 05.04.05, 05.06.01, 20.03.02, 20.04.02</t>
  </si>
  <si>
    <t>Российский государственный гидрометеорологический университет</t>
  </si>
  <si>
    <t>444750.03.01</t>
  </si>
  <si>
    <t>Гидротехнические сооружения внутрихоз. / С.Г.Белогай - ИЦ РИОР,НИЦ ИНФРА-М,2022-321с.(Научная мысль)</t>
  </si>
  <si>
    <t>ГИДРОТЕХНИЧЕСКИЕ СООРУЖЕНИЯ ВНУТРИХОЗЯЙСТВЕННОЙ МЕЛИОРАТИВНОЙ СЕТИ</t>
  </si>
  <si>
    <t>Белогай С.Г., Волосухин В.А., Тищенко А.И.</t>
  </si>
  <si>
    <t>978-5-369-01230-7</t>
  </si>
  <si>
    <t>Строительство</t>
  </si>
  <si>
    <t>05.03.04, 05.04.04, 06.03.02, 06.04.02, 08.03.01, 08.04.01, 20.03.02, 35.03.01, 35.03.03, 35.03.06, 35.03.08, 35.04.06, 35.04.07</t>
  </si>
  <si>
    <t>Ростстройсервис</t>
  </si>
  <si>
    <t>790083.02.01</t>
  </si>
  <si>
    <t>Гипсовые материалы для фасадных систем: Моногр. / И.В.Бессонов-М.:НИЦ ИНФРА-М,2023.-164 с.(о)</t>
  </si>
  <si>
    <t>ГИПСОВЫЕ МАТЕРИАЛЫ ДЛЯ ФАСАДНЫХ СИСТЕМ</t>
  </si>
  <si>
    <t>Бессонов И.В.</t>
  </si>
  <si>
    <t>978-5-16-018097-7</t>
  </si>
  <si>
    <t>08.00.00, 08.04.01, 08.05.01, 08.06.01, 20.06.01, 20.07.01</t>
  </si>
  <si>
    <t>НИИ строительной физики Российской Академии архитектуры и строительных наук</t>
  </si>
  <si>
    <t>795333.02.01</t>
  </si>
  <si>
    <t>Глава государства в странах СНГ: Моногр. / А.В.Нечкин-М.:Юр. НОРМА,2024.-288 с.(П)</t>
  </si>
  <si>
    <t>ГЛАВА ГОСУДАРСТВА В СТРАНАХ СНГ</t>
  </si>
  <si>
    <t>Нечкин А.В.</t>
  </si>
  <si>
    <t>978-5-00156-278-8</t>
  </si>
  <si>
    <t>40.04.01, 40.05.01, 40.05.02, 40.05.04, 40.06.01</t>
  </si>
  <si>
    <t>Уральский государственный юридический университет имени В.Ф. Яковлева</t>
  </si>
  <si>
    <t>128330.10.01</t>
  </si>
  <si>
    <t>Глава государства. Сравнит.-прав. исслед.: Моногр. / В.Е.Чиркин - 2 изд. - Норма: ИНФРА-М, 2025 - 240 с.(о)</t>
  </si>
  <si>
    <t>ГЛАВА ГОСУДАРСТВА. СРАВНИТЕЛЬНО-ПРАВОВОЕ ИССЛЕДОВАНИЕ, ИЗД.2</t>
  </si>
  <si>
    <t>Чиркин В. Е.</t>
  </si>
  <si>
    <t>978-5-91768-453-6</t>
  </si>
  <si>
    <t>38.03.04, 40.03.01, 40.04.01</t>
  </si>
  <si>
    <t>0214</t>
  </si>
  <si>
    <t>822973.02.01</t>
  </si>
  <si>
    <t>Гладкость и геометрия движения в нейрореабилитации ... / О.С.Васильев - М.:НИЦ ИНФРА-М,2025. - 209 с.: цв.ил.(п)</t>
  </si>
  <si>
    <t>ГЛАДКОСТЬ И ГЕОМЕТРИЯ ДВИЖЕНИЯ В НЕЙРОРЕАБИЛИТАЦИИ (ФОРМАЛИЗАЦИЯ ОЦЕНКИ КАЧЕСТВА ЖИЗНИ)</t>
  </si>
  <si>
    <t>Васильев О.С., Ачкасов Е.Е., Рохлин А.В.</t>
  </si>
  <si>
    <t>978-5-16-019788-3</t>
  </si>
  <si>
    <t>30.05.02, 31.05.01, 32.05.01, 49.03.01</t>
  </si>
  <si>
    <t>Центральная государственная медицинская академия</t>
  </si>
  <si>
    <t>282300.08.01</t>
  </si>
  <si>
    <t>Глобализация и интеграц.процессы в Азиат...: Моногр. /И.И.Шувалов-М.:НИЦ ИНФРА-М,ИЗиСП,2019-332с.(о)</t>
  </si>
  <si>
    <t>ГЛОБАЛИЗАЦИЯ И ИНТЕГРАЦИОННЫЕ ПРОЦЕССЫ В АЗИАТСКО-ТИХООКЕАНСКОМ РЕГИОНЕ (ПРАВОВОЕ И ЭКОНОМИЧЕСКОЕ ИССЛЕДОВАНИЕ)</t>
  </si>
  <si>
    <t>978-5-16-010504-8</t>
  </si>
  <si>
    <t>38.03.01, 40.03.01, 40.04.01</t>
  </si>
  <si>
    <t>144150.05.01</t>
  </si>
  <si>
    <t>Глобализация, трансформация, кризис - что дальше? / Г.В.Колодко - М.:Магистр,2020.-176 с.(П)</t>
  </si>
  <si>
    <t>ГЛОБАЛИЗАЦИЯ, ТРАНСФОРМАЦИЯ, КРИЗИС - ЧТО ДАЛЬШЕ?</t>
  </si>
  <si>
    <t>Колодко Г. В., Гринберг Р. С.</t>
  </si>
  <si>
    <t>978-5-9776-0171-9</t>
  </si>
  <si>
    <t>Общественные науки в целом</t>
  </si>
  <si>
    <t>Научное издание</t>
  </si>
  <si>
    <t>38.03.01, 38.03.02, 38.03.04, 38.04.01, 38.04.02, 38.04.04, 38.04.08, 38.05.01, 38.05.02, 38.06.01, 38.07.02, 41.03.05, 44.03.05, 47.04.02</t>
  </si>
  <si>
    <t>Университета Козьминского</t>
  </si>
  <si>
    <t>745952.03.01</t>
  </si>
  <si>
    <t>Глобализм и экофилософия будущего: Моногр. / Н.М.Исмаилов - М.:НИЦ ИНФРА-М,2024 - 253 с.(Науч.мысль)(О)</t>
  </si>
  <si>
    <t>ГЛОБАЛИЗМ И ЭКОФИЛОСОФИЯ БУДУЩЕГО</t>
  </si>
  <si>
    <t>978-5-16-016670-4</t>
  </si>
  <si>
    <t>05.04.06, 05.06.01, 20.04.01, 20.04.02, 20.06.01, 47.04.01, 47.06.01</t>
  </si>
  <si>
    <t>668061.05.01</t>
  </si>
  <si>
    <t>Глобальная экология - экономика и финансы: Моногр. / В.М.Пищулов - 2 изд. - М.:НИЦ ИНФРА-М,2023.-325 с.(П)</t>
  </si>
  <si>
    <t>ГЛОБАЛЬНАЯ ЭКОЛОГИЯ - ЭКОНОМИКА И ФИНАНСЫ, ИЗД.2</t>
  </si>
  <si>
    <t>Пищулов В.М.</t>
  </si>
  <si>
    <t>978-5-16-016616-2</t>
  </si>
  <si>
    <t>Уральский государственный экономический университет</t>
  </si>
  <si>
    <t>668061.02.01</t>
  </si>
  <si>
    <t>Глобальная экология − экономика и финансы: Моногр./ В.М.Пищулов-М.:НИЦ ИНФРА-М,2020-310с(Науч.мысль)</t>
  </si>
  <si>
    <t>ГЛОБАЛЬНАЯ ЭКОЛОГИЯ − ЭКОНОМИКА И ФИНАНСЫ</t>
  </si>
  <si>
    <t>978-5-16-013306-5</t>
  </si>
  <si>
    <t>818789.01.01</t>
  </si>
  <si>
    <t>Глобальные зависимости и нац. особ. образоват. яз. политики...: Моногр./М.А.Марусенко-М.:НИЦ ИНФРА-М,2025-227 с.(п)</t>
  </si>
  <si>
    <t>ГЛОБАЛЬНЫЕ ЗАВИСИМОСТИ И НАЦИОНАЛЬНЫЕ ОСОБЕННОСТИ ОБРАЗОВАТЕЛЬНОЙ ЯЗЫКОВОЙ ПОЛИТИКИ В РАЗВИВАЮЩИХСЯ СТРАНАХ</t>
  </si>
  <si>
    <t>Марусенко М.А., Марусенко Н.М.</t>
  </si>
  <si>
    <t>978-5-16-019620-6</t>
  </si>
  <si>
    <t>45.03.02, 45.04.02, 45.04.03</t>
  </si>
  <si>
    <t>АКАДЕМУС-2023, Победитель, III место
АИСТ'ИЯ-2025, Победитель</t>
  </si>
  <si>
    <t>633935.12.01</t>
  </si>
  <si>
    <t>Глоссарий юр. терминов по антикоррупц. темат.: Сл. / Н.А.Власенко. - М.:НИЦ ИНФРА-М,2026 - 168 с.(О)</t>
  </si>
  <si>
    <t>ГЛОССАРИЙ ЮРИДИЧЕСКИХ ТЕРМИНОВ ПО АНТИКОРРУПЦИОННОЙ ТЕМАТИКЕ</t>
  </si>
  <si>
    <t>Власенко Н.А., Цирин А.М., Спектор Е.И. и др.</t>
  </si>
  <si>
    <t>978-5-16-012084-3</t>
  </si>
  <si>
    <t>38.03.01, 40.02.04, 40.03.01, 40.04.01, 40.05.01, 40.05.02, 40.05.03</t>
  </si>
  <si>
    <t>707061.02.01</t>
  </si>
  <si>
    <t>Гносеологические аспекты процес. самоорганизации...: Моногр. / М.Ю. Куссый. - М.:ИНФРА-М, 2022-179с(О)</t>
  </si>
  <si>
    <t>ГНОСЕОЛОГИЧЕСКИЕ АСПЕКТЫ ПРОЦЕССОВ САМООРГАНИЗАЦИИ В СОЦИАЛЬНО-ЭКОНОМИЧЕСКИХ СИСТЕМАХ С ПОЗИЦИЙ ЭКОНОМИКО-МАТЕМАТИЧЕСКОГО МОДЕЛИРОВАНИЯ</t>
  </si>
  <si>
    <t>Куссый М.Ю.</t>
  </si>
  <si>
    <t>Научная мысль (КрымФУ)</t>
  </si>
  <si>
    <t>978-5-16-017450-1</t>
  </si>
  <si>
    <t>38.03.05, 38.04.01, 38.04.02, 38.04.05</t>
  </si>
  <si>
    <t>445600.11.01</t>
  </si>
  <si>
    <t>Говорите языком схем: Краткий справ ./ В.Б.Исаков - 2 изд. - М.:Юр.Норма, НИЦ ИНФРА-М,2025 - 216 с.(О)</t>
  </si>
  <si>
    <t>ГОВОРИТЕ ЯЗЫКОМ СХЕМ, ИЗД.2</t>
  </si>
  <si>
    <t>Исаков В.Б.</t>
  </si>
  <si>
    <t>978-5-00156-230-6</t>
  </si>
  <si>
    <t>445600.07.01</t>
  </si>
  <si>
    <t>Говорите языком схем: Краткий справочник / В.Б.Исаков - М.:Юр.Норма, НИЦ ИНФРА-М,2021.-144 с.(О)</t>
  </si>
  <si>
    <t>ГОВОРИТЕ ЯЗЫКОМ СХЕМ</t>
  </si>
  <si>
    <t>978-5-91768-665-3</t>
  </si>
  <si>
    <t>334100.11.01</t>
  </si>
  <si>
    <t>Годы решений: Моногр. / О.Шпенглер - М.:НИЦ ИНФРА-М,2025 - 117 с.(Науч.мысль)(О)</t>
  </si>
  <si>
    <t>ГОДЫ РЕШЕНИЙ</t>
  </si>
  <si>
    <t>Шпенглер О., Афанасьев В.В.</t>
  </si>
  <si>
    <t>978-5-16-010649-6</t>
  </si>
  <si>
    <t>758583.01.01</t>
  </si>
  <si>
    <t>Городище Артезиан в эпоху Средневековья: Моногр. / Н.И.Винокуров-М.:НИЦ ИНФРА-М,2022.-343 с.(Науч.мысль)(О)</t>
  </si>
  <si>
    <t>ГОРОДИЩЕ АРТЕЗИАН В ЭПОХУ СРЕДНЕВЕКОВЬЯ</t>
  </si>
  <si>
    <t>Винокуров Н.И., Пономарев Л.Ю.</t>
  </si>
  <si>
    <t>978-5-16-017103-6</t>
  </si>
  <si>
    <t>46.03.01, 46.04.01, 46.06.01, 50.03.03, 50.06.01, 51.03.04, 51.04.04, 51.06.01</t>
  </si>
  <si>
    <t>094690.10.01</t>
  </si>
  <si>
    <t>Господство: Очерки политической философии: Моногр. /И.А.Исаев -М.:Юр.Норма,НИЦ ИНФРА-М,2024-352с(О)</t>
  </si>
  <si>
    <t>ГОСПОДСТВО: ОЧЕРКИ ПОЛИТИЧЕСКОЙ ФИЛОСОФИИ</t>
  </si>
  <si>
    <t>Исаев И.А.</t>
  </si>
  <si>
    <t>978-5-00156-019-7</t>
  </si>
  <si>
    <t>41.04.04, 47.03.01, 47.04.01</t>
  </si>
  <si>
    <t>238100.14.01</t>
  </si>
  <si>
    <t>Гости из прошлого: Сл. редких слов: В 3 т.Т 2: К-П / Е.В.Гаева - М.:НИЦ ИНФРА-М,2023-652 с.(о)</t>
  </si>
  <si>
    <t>ГОСТИ ИЗ ПРОШЛОГО</t>
  </si>
  <si>
    <t>Гаева Е.В.</t>
  </si>
  <si>
    <t>978-5-16-011397-5</t>
  </si>
  <si>
    <t>45.03.01, 45.03.04, 45.04.01, 45.04.04, 45.05.01</t>
  </si>
  <si>
    <t>Курганский государственный университет</t>
  </si>
  <si>
    <t>237900.14.01</t>
  </si>
  <si>
    <t>Гости из прошлого: Сл. редких слов: В 3 т.Т.1: А-Й / Е.В.Гаева - М.:НИЦ ИНФРА-М,2023 - 631 с.(о)[12+]</t>
  </si>
  <si>
    <t>ГОСТИ ИЗ ПРОШЛОГО, Т.1</t>
  </si>
  <si>
    <t>978-5-16-011396-8</t>
  </si>
  <si>
    <t>238200.14.01</t>
  </si>
  <si>
    <t>Гости из прошлого: Сл. редких слов: В 3 т.Т.3: П-Я / Е.В.Гаева - М.:НИЦ ИНФРА-М,2023 - 621 с.(О)[12+]</t>
  </si>
  <si>
    <t>978-5-16-011399-9</t>
  </si>
  <si>
    <t>654596.05.01</t>
  </si>
  <si>
    <t>Гостиничное дело: Сл. / Под ред. Морозовой Н.С. - М.:НИЦ ИНФРА-М,2023 - 247 с.(Б-ка сл. ИНФРА-М)(П)</t>
  </si>
  <si>
    <t>ГОСТИНИЧНОЕ ДЕЛО</t>
  </si>
  <si>
    <t>Морозова Н.С., Морозов М.М., Маврина Н.Ф. и др.</t>
  </si>
  <si>
    <t>978-5-16-014764-2</t>
  </si>
  <si>
    <t>43.03.03, 43.04.02, 43.04.03</t>
  </si>
  <si>
    <t>Российский новый университет</t>
  </si>
  <si>
    <t>675026.03.01</t>
  </si>
  <si>
    <t>Государственная власть в соц. орг.совр.общ.: Моногр./ А.Ю.Мамычев-М:ИЦ РИОР,НИЦ ИНФРА-М,2025-290с(П)</t>
  </si>
  <si>
    <t>ГОСУДАРСТВЕННАЯ ВЛАСТЬ В СОЦИОКУЛЬТУРНОЙ ОРГАНИЗАЦИИ СОВРЕМЕННОГО ОБЩЕСТВА</t>
  </si>
  <si>
    <t>Мамычев А.Ю.</t>
  </si>
  <si>
    <t>978-5-369-01737-1</t>
  </si>
  <si>
    <t>00.03.07, 38.03.04, 38.04.04, 39.04.02, 40.03.01, 41.03.06, 41.04.04, 44.03.05</t>
  </si>
  <si>
    <t>Владивостокский Государственный Университет</t>
  </si>
  <si>
    <t>768723.01.01</t>
  </si>
  <si>
    <t>Государственная деят. и эконом. функция права: Моногр. / А.Г.Чернявский - М.:НИЦ ИНФРА-М,2022-176 с.(О)</t>
  </si>
  <si>
    <t>ГОСУДАРСТВЕННАЯ ДЕЯТЕЛЬНОСТЬ И ЭКОНОМИЧЕСКАЯ ФУНКЦИЯ ПРАВА: ФИЛОСОФСКО-ПРАВОВОЕ ИССЛЕДОВАНИЕ</t>
  </si>
  <si>
    <t>978-5-16-017333-7</t>
  </si>
  <si>
    <t>38.03.01, 38.04.01, 38.06.01, 40.03.01, 40.04.01, 40.06.01</t>
  </si>
  <si>
    <t>657348.04.01</t>
  </si>
  <si>
    <t>Государственная кадровая полит. в Сов. Союзе и совр. России...: Моногр./ С.Н.Федорченко-М.:НИЦ ИНФРА-М,2020-154с.(П)</t>
  </si>
  <si>
    <t>ГОСУДАРСТВЕННАЯ КАДРОВАЯ ПОЛИТИКА В СОВЕТСКОМ СОЮЗЕ И СОВРЕМЕННОЙ РОССИИ: ПОЛИТИКО-ФИЛОСОФСКИЙ АНАЛИЗ</t>
  </si>
  <si>
    <t>Федорченко С.Н.</t>
  </si>
  <si>
    <t>978-5-16-012854-2</t>
  </si>
  <si>
    <t>38.03.01, 38.03.03, 38.04.03, 38.04.04, 41.03.06</t>
  </si>
  <si>
    <t>670456.02.01</t>
  </si>
  <si>
    <t>Государственная культурная полит. в Сибирск. федер. округе...: Моногр./Н.П.Копцева-М.:НИЦ ИНФРА-М,СФУ,2020-160с</t>
  </si>
  <si>
    <t>ГОСУДАРСТВЕННАЯ КУЛЬТУРНАЯ ПОЛИТИКА В СИБИРСКОМ ФЕДЕРАЛЬНОМ ОКРУГЕ: КОНЦЕПЦИИ, ПРОБЛЕМЫ, ИССЛЕДОВАНИЯ</t>
  </si>
  <si>
    <t>Копцева Н.П., Лузан В.С.</t>
  </si>
  <si>
    <t>978-5-16-013356-0</t>
  </si>
  <si>
    <t>458050.09.01</t>
  </si>
  <si>
    <t>Государственная орг. общественной жизнедеят..: Моногр. /А.Д.Керимов -М.: Юр.Норма, НИЦ ИНФРА-М, 2024.-192 с.(п)</t>
  </si>
  <si>
    <t>ГОСУДАРСТВЕННАЯ ОРГАНИЗАЦИЯ ОБЩЕСТВЕННОЙ ЖИЗНЕДЕЯТЕЛЬНОСТИ: ВОПРОСЫ ТЕОРИИ</t>
  </si>
  <si>
    <t>Керимов А. Д.</t>
  </si>
  <si>
    <t>978-5-91768-448-2</t>
  </si>
  <si>
    <t>740305.02.01</t>
  </si>
  <si>
    <t>Государственная полит. в отнош. городов и регионов с...: Моногр. / С.Н.Крекотнев-М.:НИЦ ИНФРА-М,2021.-260 с(П)</t>
  </si>
  <si>
    <t>ГОСУДАРСТВЕННАЯ ПОЛИТИКА В ОТНОШЕНИИ ГОРОДОВ И РЕГИОНОВ С МОНОСПЕЦИАЛИЗАЦИЕЙ: ОПЫТ И ПРИОРИТЕТЫ</t>
  </si>
  <si>
    <t>Крекотнев С.Н.</t>
  </si>
  <si>
    <t>978-5-16-017049-7</t>
  </si>
  <si>
    <t>714041.02.01</t>
  </si>
  <si>
    <t>Государственная регламентация образоват. деят.:Моногр./ А.Г.Чернявский -М.:НИЦ ИНФРА-М,2023.-200 с(П)</t>
  </si>
  <si>
    <t>ГОСУДАРСТВЕННАЯ РЕГЛАМЕНТАЦИЯ ОБРАЗОВАТЕЛЬНОЙ ДЕЯТЕЛЬНОСТИ</t>
  </si>
  <si>
    <t>Чернявский А.Г., Пашенцев Д.А., Ладнушкина Н.М. и др.</t>
  </si>
  <si>
    <t>978-5-16-015463-3</t>
  </si>
  <si>
    <t>44.03.01, 44.03.05, 44.04.01, 44.04.02, 44.04.04</t>
  </si>
  <si>
    <t>457900.03.01</t>
  </si>
  <si>
    <t>Государственная служба в учр..: Моногр. / А.В.Каляшин, - 2-изд.-М.:ИЦ РИОР, НИЦ ИНФРА-М,2018-99с.(О)</t>
  </si>
  <si>
    <t>ГОСУДАРСТВЕННАЯ СЛУЖБА В УЧРЕЖДЕНИЯХ И ОРГАНАХ УГОЛОВНО-ИСПОЛНИТЕЛЬНОЙ СИСТЕМЫ РФ: ТЕОРИЯ И ПРАКТИКА РАЗВИТИЯ, ИЗД.2</t>
  </si>
  <si>
    <t>Каляшин А.В.</t>
  </si>
  <si>
    <t>978-5-369-01588-9</t>
  </si>
  <si>
    <t>Владимирский юридический институт Федеральной службы исполнения наказаний</t>
  </si>
  <si>
    <t>457900.04.01</t>
  </si>
  <si>
    <t>Государственная служба в учр..: Моногр. / А.В.Каляшин, - 3 изд. - М.:ИЦ РИОР, НИЦ ИНФРА-М,2026 - 121 с.(О)</t>
  </si>
  <si>
    <t>ГОСУДАРСТВЕННАЯ СЛУЖБА В УЧРЕЖДЕНИЯХ И ОРГАНАХ УГОЛОВНО-ИСПОЛНИТЕЛЬНОЙ СИСТЕМЫ РФ: ТЕОРИЯ И ПРАКТИКА РАЗВИТИЯ, ИЗД.3</t>
  </si>
  <si>
    <t>978-5-369-01998-6</t>
  </si>
  <si>
    <t>0326</t>
  </si>
  <si>
    <t>684043.05.01</t>
  </si>
  <si>
    <t>Государственная служба РФ в правоохранит. сфере...: Моногр. / Р.В.Нагорных - М.:НИЦ ИНФРА-М,2025 - 190 с.(П)</t>
  </si>
  <si>
    <t>ГОСУДАРСТВЕННАЯ СЛУЖБА РОССИЙСКОЙ ФЕДЕРАЦИИ В ПРАВООХРАНИТЕЛЬНОЙ СФЕРЕ: ПРОБЛЕМЫ ТЕОРИИ И ПРАКТИКИ АДМИНИСТРАТИВНО-ПРАВОВОГО РЕГУЛИРОВАНИЯ</t>
  </si>
  <si>
    <t>Нагорных Р.В.</t>
  </si>
  <si>
    <t>978-5-16-014080-3</t>
  </si>
  <si>
    <t>38.03.04, 38.04.04, 40.03.01, 40.04.01, 40.05.02</t>
  </si>
  <si>
    <t>Вологодский институт права и экономики Федеральной службы исполнения наказаний</t>
  </si>
  <si>
    <t>337000.03.01</t>
  </si>
  <si>
    <t>Государственная фин.поддержка АПК..: Моногр. / М.Р.Пинская-М.:НИЦ ИНФРА-М,2018-178с.(Науч.мысль)(о)</t>
  </si>
  <si>
    <t>ГОСУДАРСТВЕННАЯ ФИНАНСОВАЯ ПОДДЕРЖКА АПК: НАЛОГОВЫЕ И БЮДЖЕТНЫЕ ИНСТРУМЕНТЫ</t>
  </si>
  <si>
    <t>Пинская М.Р., Тихонова А.В.</t>
  </si>
  <si>
    <t>978-5-16-011856-7</t>
  </si>
  <si>
    <t>35.03.04, 35.03.05, 35.03.07, 35.04.04, 35.04.05, 35.06.01, 38.04.01, 38.04.02, 38.04.04, 38.04.08, 38.06.01</t>
  </si>
  <si>
    <t>804001.01.01</t>
  </si>
  <si>
    <t>Государственное регулир. предприним. деят-ти в услов... / М.В.Шатохин-М.:НИЦ ИНФРА-М,2023.-222 с(о)</t>
  </si>
  <si>
    <t>ГОСУДАРСТВЕННОЕ РЕГУЛИРОВАНИЕ ПРЕДПРИНИМАТЕЛЬСКОЙ ДЕЯТЕЛЬНОСТИ В УСЛОВИЯХ ГЕОПОЛИТИЧЕСКОЙ НЕСТАБИЛЬНОСТИ</t>
  </si>
  <si>
    <t>Шатохин М.В., Васильева О.Н., Жахов Н.В. и др.</t>
  </si>
  <si>
    <t>978-5-16-018595-8</t>
  </si>
  <si>
    <t>38.03.01, 38.04.04</t>
  </si>
  <si>
    <t>651700.06.01</t>
  </si>
  <si>
    <t>Государственное регулир. рыночной эконом..: Моногр. / Е.П.Губин - М.:Юр.Норма,НИЦ ИНФРА-М,2025 - 316 c.(П)</t>
  </si>
  <si>
    <t>ГОСУДАРСТВЕННОЕ РЕГУЛИРОВАНИЕ РЫНОЧНОЙ ЭКОНОМИКИ И ПРЕДПРИНИМАТЕЛЬСТВА: ПРАВОВЫЕ ПРОБЛЕМЫ</t>
  </si>
  <si>
    <t>Губин Е.П.</t>
  </si>
  <si>
    <t>978-5-91768-836-7</t>
  </si>
  <si>
    <t>38.03.01, 38.03.04, 40.03.01, 40.04.01, 44.03.01, 44.03.05</t>
  </si>
  <si>
    <t>682905.05.01</t>
  </si>
  <si>
    <t>Государственное регулир.нефтегаз. комплекса...: Моногр./ С.Е.Трофимов - М.:НИЦ ИНФРА-М,2025 - 156 с.(O)</t>
  </si>
  <si>
    <t>ГОСУДАРСТВЕННОЕ РЕГУЛИРОВАНИЕ НЕФТЕГАЗОВОГО КОМПЛЕКСА: СОСТОЯНИЕ, ПРОБЛЕМЫ И ПЕРСПЕКТИВЫ</t>
  </si>
  <si>
    <t>Трофимов С.Е.</t>
  </si>
  <si>
    <t>978-5-16-015914-0</t>
  </si>
  <si>
    <t>38.03.01, 38.04.01, 44.03.01</t>
  </si>
  <si>
    <t>Байкальский государственный университет</t>
  </si>
  <si>
    <t>645564.04.01</t>
  </si>
  <si>
    <t>Государственное регулир.основных факт.производ. в АПК: Моногр. / А.В.Тихонова - М.:НИЦ ИНФРА-М,2022-122с(О)</t>
  </si>
  <si>
    <t>ГОСУДАРСТВЕННОЕ РЕГУЛИРОВАНИЕ ОСНОВНЫХ ФАКТОРОВ ПРОИЗВОДСТВА В АПК</t>
  </si>
  <si>
    <t>Тихонова А.В.</t>
  </si>
  <si>
    <t>978-5-16-012439-1</t>
  </si>
  <si>
    <t>684233.07.01</t>
  </si>
  <si>
    <t>Государственное регулирование деят. соц. ориентир..: Моногр. / А.В.Барков - М.:НИЦ ИНФРА-М,2023 - 181с.(О)</t>
  </si>
  <si>
    <t>ГОСУДАРСТВЕННОЕ РЕГУЛИРОВАНИЕ ДЕЯТЕЛЬНОСТИ СОЦИАЛЬНО ОРИЕНТИРОВАННЫХ НЕКОММЕРЧЕСКИХ ОРГАНИЗАЦИЙ</t>
  </si>
  <si>
    <t>Барков А.В., Ручкина Г.Ф., Демченко М.В. и др.</t>
  </si>
  <si>
    <t>978-5-16-016706-0</t>
  </si>
  <si>
    <t>39.03.02, 40.03.01, 44.03.05, 46.03.02</t>
  </si>
  <si>
    <t>729518.03.01</t>
  </si>
  <si>
    <t>Государственное управ. и гос. служба в совр. России: Моногр./ В.П.Уманская-М.:Юр.Норма,2023.-176 с.(П)</t>
  </si>
  <si>
    <t>ГОСУДАРСТВЕННОЕ УПРАВЛЕНИЕ И ГОСУДАРСТВЕННАЯ СЛУЖБА В СОВРЕМЕННОЙ РОССИИ</t>
  </si>
  <si>
    <t>Уманская В.П., Малеванова Ю.В.</t>
  </si>
  <si>
    <t>978-5-00156-047-0</t>
  </si>
  <si>
    <t>40.03.01, 40.04.01, 40.06.01</t>
  </si>
  <si>
    <t>Всероссийский государственный университет юстиции (РПА Минюста России)</t>
  </si>
  <si>
    <t>796009.02.01</t>
  </si>
  <si>
    <t>Государственно-территориальное устройство России: Моногр. / И.А.Иванников-М.:НИЦ ИНФРА-М,2024.-157 с.(о)</t>
  </si>
  <si>
    <t>ГОСУДАРСТВЕННО-ТЕРРИТОРИАЛЬНОЕ УСТРОЙСТВО РОССИИ: ПОИСК ИДЕАЛЬНОЙ ФОРМЫ</t>
  </si>
  <si>
    <t>Иванников И.А.</t>
  </si>
  <si>
    <t>978-5-16-018173-8</t>
  </si>
  <si>
    <t>Всероссийский государственный университет юстиции (РПА Минюста России), ф-л Сочинский ф-л</t>
  </si>
  <si>
    <t>114500.10.01</t>
  </si>
  <si>
    <t>Государственно-частное партнерство в науч...: Моногр. / Под ред. А.К.Казанцева-М.:ИНФРА-М,2024-331с.(О)</t>
  </si>
  <si>
    <t>ГОСУДАРСТВЕННО-ЧАСТНОЕ ПАРТНЕРСТВО В НАУЧНО-ИННОВАЦИОННОЙ СФЕРЕ</t>
  </si>
  <si>
    <t>Казанцев А. К., Рубвальтер Д. А.</t>
  </si>
  <si>
    <t>978-5-16-016572-1</t>
  </si>
  <si>
    <t>38.03.01</t>
  </si>
  <si>
    <t>641116.04.01</t>
  </si>
  <si>
    <t>Государственный аппарат России. Дружинно-княж.период:Моногр./ С.Ю.Кабашов-М.:НИЦ ИНФРА-М,2023-304с.(п)</t>
  </si>
  <si>
    <t>ГОСУДАРСТВЕННЫЙ АППАРАТ РОССИИ. ДРУЖИННО-КНЯЖЕСКИЙ ПЕРИОД</t>
  </si>
  <si>
    <t>Кабашов С.Ю.</t>
  </si>
  <si>
    <t>978-5-16-012312-7</t>
  </si>
  <si>
    <t>38.03.04, 38.04.04, 44.03.05</t>
  </si>
  <si>
    <t>Башкирская академия государственной службы и управления при Главе Республики Башкортостан</t>
  </si>
  <si>
    <t>670273.02.01</t>
  </si>
  <si>
    <t>Государственный долг России в сист. финанс. права: Моногр. / Ю.К.Цареградская - М:ИНФРА-М,2022-166с(О)</t>
  </si>
  <si>
    <t>ГОСУДАРСТВЕННЫЙ ДОЛГ РОССИИ В СИСТЕМЕ ФИНАНСОВОГО ПРАВА</t>
  </si>
  <si>
    <t>Цареградская Ю.К.</t>
  </si>
  <si>
    <t>978-5-16-013838-1</t>
  </si>
  <si>
    <t>38.04.08, 38.04.09, 40.03.01, 40.04.01, 44.03.05</t>
  </si>
  <si>
    <t>636298.06.01</t>
  </si>
  <si>
    <t>Государственный и общ. контроль в мех. обесп.без. РФ: Моногр./ Ю.Г.Федотова-М.:НИЦ ИНФРА-М,2022-220с</t>
  </si>
  <si>
    <t>ГОСУДАРСТВЕННЫЙ И ОБЩЕСТВЕННЫЙ КОНТРОЛЬ В МЕХАНИЗМЕ ОБЕСПЕЧЕНИЯ БЕЗОПАСНОСТИ РОССИЙСКОЙ ФЕДЕРАЦИИ</t>
  </si>
  <si>
    <t>978-5-16-012157-4</t>
  </si>
  <si>
    <t>481050.06.01</t>
  </si>
  <si>
    <t>Государство и бизнес в системе правовых координат: Моногр. / А.В.Габов - М.:НИЦ ИНФРА-М,2022 - 320 с.(п)</t>
  </si>
  <si>
    <t>ГОСУДАРСТВО И БИЗНЕС В СИСТЕМЕ ПРАВОВЫХ КООРДИНАТ</t>
  </si>
  <si>
    <t>Габов А.В., Литовкин В.Н., Гутников О.В. и др.</t>
  </si>
  <si>
    <t>978-5-16-010400-3</t>
  </si>
  <si>
    <t>38.03.01, 38.03.02, 38.03.04, 38.04.01, 38.04.02, 38.04.04, 38.04.09, 40.03.01, 40.04.01</t>
  </si>
  <si>
    <t>760105.01.01</t>
  </si>
  <si>
    <t>Государство и право как феномены религиозного сознания чел. / А.Л.Панищев-М.:НИЦ ИНФРА-М,2022.-314 с.(П)</t>
  </si>
  <si>
    <t>ГОСУДАРСТВО И ПРАВО КАК ФЕНОМЕНЫ РЕЛИГИОЗНОГО СОЗНАНИЯ ЧЕЛОВЕКА</t>
  </si>
  <si>
    <t>978-5-16-017074-9</t>
  </si>
  <si>
    <t>40.04.01, 40.06.01, 47.04.03, 47.06.01</t>
  </si>
  <si>
    <t>645363.04.01</t>
  </si>
  <si>
    <t>Государство.Гражданское общество.Право: Моногр./Под ред.Чернявского А.Г.-М.:НИЦ ИНФРА-М,2023-343с(п)</t>
  </si>
  <si>
    <t>ГОСУДАРСТВО. ГРАЖДАНСКОЕ ОБЩЕСТВО. ПРАВО</t>
  </si>
  <si>
    <t>Чернявский А.Г., Грудцына Л.Ю., Пашенцев Д.А. и др.</t>
  </si>
  <si>
    <t>978-5-16-012388-2</t>
  </si>
  <si>
    <t>436750.09.01</t>
  </si>
  <si>
    <t>Государство: Монография / Ю.А.Тихомиров - М.: Юр.Норма, НИЦ ИНФРА-М, 2025 - 328 с.(П)</t>
  </si>
  <si>
    <t>ГОСУДАРСТВО</t>
  </si>
  <si>
    <t>Тихомиров Ю. А.</t>
  </si>
  <si>
    <t>978-5-91768-379-9</t>
  </si>
  <si>
    <t>40.03.01, 40.04.01, 40.05.01, 40.05.02, 40.05.03, 40.06.01</t>
  </si>
  <si>
    <t>682537.06.01</t>
  </si>
  <si>
    <t>Граждане как субъекты механизма адм.-прав. обесп.обороны и безоп.РФ: Моногр. / Ю.Г.Федотова-М.:НИЦ ИНФРА-М,2025-221с (о)</t>
  </si>
  <si>
    <t>ГРАЖДАНЕ КАК СУБЪЕКТЫ МЕХАНИЗМА АДМИНИСТРАТИВНО-ПРАВОВОГО ОБЕСПЕЧЕНИЯ ОБОРОНЫ И БЕЗОПАСНОСТИ РОССИЙСКОЙ ФЕДЕРАЦИИ</t>
  </si>
  <si>
    <t>978-5-16-014278-4</t>
  </si>
  <si>
    <t>38.03.04, 40.03.01, 40.04.01, 40.05.01, 40.05.02, 44.03.05</t>
  </si>
  <si>
    <t>800965.01.01</t>
  </si>
  <si>
    <t>Гражданин как субъект экономич. деят. по законодат. Рос./ М.Д.Шапсугова-М.:НИЦ ИНФРА-М,2024.-344 с.(п)</t>
  </si>
  <si>
    <t>ГРАЖДАНИН КАК СУБЪЕКТ ЭКОНОМИЧЕСКОЙ ДЕЯТЕЛЬНОСТИ ПО ЗАКОНОДАТЕЛЬСТВУ РОССИИ</t>
  </si>
  <si>
    <t>Шапсугова М.Д.</t>
  </si>
  <si>
    <t>978-5-16-018422-7</t>
  </si>
  <si>
    <t>38.04.01, 38.06.01, 40.05.01, 40.05.02, 40.05.04, 40.06.01</t>
  </si>
  <si>
    <t>682304.02.01</t>
  </si>
  <si>
    <t>Гражданский проц. и римск. право в России XIX-нач.ХХ вв.:Моногр. / Е.А.Апольский-М:ИЦ РИОР,-М,2024-195с</t>
  </si>
  <si>
    <t>ГРАЖДАНСКИЙ ПРОЦЕСС И РИМСКОЕ ПРАВО В РОССИИ XIX - НАЧАЛА ХХ ВВ.: ОПЫТ ДИСКУРСИВНОГО ОСМЫСЛЕНИЯ</t>
  </si>
  <si>
    <t>Апольский Е.А., Мордовцев А.Ю.</t>
  </si>
  <si>
    <t>978-5-369-01793-7</t>
  </si>
  <si>
    <t>810528.01.01</t>
  </si>
  <si>
    <t>Гражданско-правовое обеспеч. смарт-контрактов: Моногр. / Е.А.Кириллова-М.:НИЦ ИНФРА-М,2024.-124 с.(о)</t>
  </si>
  <si>
    <t>ГРАЖДАНСКО-ПРАВОВОЕ ОБЕСПЕЧЕНИЕ СМАРТ-КОНТРАКТОВ</t>
  </si>
  <si>
    <t>Кириллова Е.А., Зульфугарзаде Т.Э.</t>
  </si>
  <si>
    <t>978-5-16-019005-1</t>
  </si>
  <si>
    <t>211400.09.01</t>
  </si>
  <si>
    <t>Гражданско-правовое регулирование: публич. интер..: Моногр./Л.В.Щенникова - Норма:ИНФРА-М, 2025-144с (о)</t>
  </si>
  <si>
    <t>ГРАЖДАНСКО-ПРАВОВОЕ РЕГУЛИРОВАНИЕ: ПУБЛИЧНЫЕ ИНТЕРЕСЫ, ОБЩИЕ ПОЛЬЗЫ, ДОБРЫЕ НРАВЫ</t>
  </si>
  <si>
    <t>Щенникова Л. В.</t>
  </si>
  <si>
    <t>978-5-91768-392-8</t>
  </si>
  <si>
    <t>Кубанский государственный университет</t>
  </si>
  <si>
    <t>808353.01.01</t>
  </si>
  <si>
    <t>Грамматический параллелизм в текстах...: Моногр./ К.А.Калинин-М.:НИЦ ИНФРА-М,2025.-187 с.(Науч.мысль)(о)</t>
  </si>
  <si>
    <t>ГРАММАТИЧЕСКИЙ ПАРАЛЛЕЛИЗМ В ТЕКСТАХ ДРЕВНЕРУССКОЙ ОРАТОРСКОЙ ПРОЗЫ</t>
  </si>
  <si>
    <t>Калинин К.А.</t>
  </si>
  <si>
    <t>978-5-16-018877-5</t>
  </si>
  <si>
    <t>Набережночелнинский государственный педагогический университет</t>
  </si>
  <si>
    <t>397900.14.01</t>
  </si>
  <si>
    <t>Графический дизайн: стилевая эволюция: Моногр. / И.Г.Пендикова - М,НИЦ ИНФРА-М,2026 - 160 с.(О)</t>
  </si>
  <si>
    <t>ГРАФИЧЕСКИЙ ДИЗАЙН: СТИЛЕВАЯ ЭВОЛЮЦИЯ</t>
  </si>
  <si>
    <t>Пендикова И.Г.</t>
  </si>
  <si>
    <t>978-5-16-011269-5</t>
  </si>
  <si>
    <t>42.04.01, 43.01.11, 54.01.01, 54.01.06, 54.01.12, 54.01.20, 54.02.01, 54.04.01</t>
  </si>
  <si>
    <t>760584.03.01</t>
  </si>
  <si>
    <t>Гребные электрические установки: обзор...: Моногр. / А.Ф.Бурков - М.:НИЦ ИНФРА-М,2026 - 199 с.(О)</t>
  </si>
  <si>
    <t>ГРЕБНЫЕ ЭЛЕКТРИЧЕСКИЕ УСТАНОВКИ: ОБЗОР, АНАЛИЗ, ПЕРСПЕКТИВЫ РАЗВИТИЯ</t>
  </si>
  <si>
    <t>Бурков А.Ф., Миханошин В.В.</t>
  </si>
  <si>
    <t>978-5-16-017236-1</t>
  </si>
  <si>
    <t>26.04.02, 26.05.01, 26.05.02, 26.05.06, 26.05.07, 26.06.01</t>
  </si>
  <si>
    <t>729932.05.01</t>
  </si>
  <si>
    <t>Грязелечение в Республике Крым: Моногр. / Т.Ф.Голубова - М.:НИЦ ИНФРА-М,2026. - 315 с.(Науч.мысль)(О)</t>
  </si>
  <si>
    <t>ГРЯЗЕЛЕЧЕНИЕ В РЕСПУБЛИКЕ КРЫМ</t>
  </si>
  <si>
    <t>Голубова Т.Ф., Любчик В.Н.</t>
  </si>
  <si>
    <t>978-5-16-016025-2</t>
  </si>
  <si>
    <t>31.05.01, 31.05.02, 31.06.01</t>
  </si>
  <si>
    <t>Национальный медицинский исследовательский центр реабилитации и курортологии</t>
  </si>
  <si>
    <t>218800.06.01</t>
  </si>
  <si>
    <t>Губернаторство России: история и современ.: Моногр. / О.В.Ерохина - М.: Вуз. уч.: ИНФРА-М, 2023-160с. (п)</t>
  </si>
  <si>
    <t>ГУБЕРНАТОРСТВО РОССИИ: ИСТОРИЯ И СОВРЕМЕННОСТЬ</t>
  </si>
  <si>
    <t>Ерохина О. В.</t>
  </si>
  <si>
    <t>978-5-9558-0320-3</t>
  </si>
  <si>
    <t>37.03.02, 37.04.02, 38.03.02, 38.03.04, 38.04.02, 38.04.04, 40.03.01, 41.03.04, 41.03.06, 41.04.04, 42.03.02, 42.04.02, 44.03.05, 46.03.01, 46.04.01</t>
  </si>
  <si>
    <t>443900.03.01</t>
  </si>
  <si>
    <t>Гуманизация современного уголовного законодательства: монография / Под ред. Кашепов В.П.-М.:НИЦ ИНФРА-М,2018.-336 с..-(ИЗиСП)(П 7БЦ)</t>
  </si>
  <si>
    <t>ГУМАНИЗАЦИЯ СОВРЕМЕННОГО УГОЛОВНОГО ЗАКОНОДАТЕЛЬСТВА</t>
  </si>
  <si>
    <t>Кашепов В.П.,Гравина А.А.,Кошаева Т.О.и др.</t>
  </si>
  <si>
    <t>978-5-16-011384-5</t>
  </si>
  <si>
    <t>40.03.01, 40.04.01, 40.05.02, 44.03.05</t>
  </si>
  <si>
    <t>149300.08.01</t>
  </si>
  <si>
    <t>Дактилоскопическая экспертиза: совр. сост. и... /В.Е.Корноухов - М.:Юр.Норма,ИНФРА-М,2024-320с.(п)</t>
  </si>
  <si>
    <t>ДАКТИЛОСКОПИЧЕСКАЯ ЭКСПЕРТИЗА: СОВРЕМЕННОЕ СОСТОЯНИЕ И ПЕРСПЕКТИВЫ РАЗВИТИЯ</t>
  </si>
  <si>
    <t>Корноухов В. Е., Ярослав Ю. Ю., Яровенко Т. В.</t>
  </si>
  <si>
    <t>978-5-91768-171-9</t>
  </si>
  <si>
    <t>686256.08.01</t>
  </si>
  <si>
    <t>Дальний Восток России: от депрессив. региона..: Моногр. / О.А.Николайчук - 2 изд.-М.:НИЦ ИНФРА-М,2024.-297с(О)</t>
  </si>
  <si>
    <t>ДАЛЬНИЙ ВОСТОК РОССИИ: ОТ ДЕПРЕССИВНОГО РЕГИОНА К ТЕРРИТОРИИ БУДУЩЕГО, ИЗД.2</t>
  </si>
  <si>
    <t>Николайчук О.А.</t>
  </si>
  <si>
    <t>978-5-16-016413-7</t>
  </si>
  <si>
    <t>38.03.01, 38.04.01, 38.04.02, 38.04.04, 44.03.01</t>
  </si>
  <si>
    <t>Конкурс Ассоциации книгоиздателей России "Лучшие книги года - 2023"-2023, Лауреат</t>
  </si>
  <si>
    <t>686256.04.01</t>
  </si>
  <si>
    <t>Дальний Восток России: от депрессивного региона...: Моногр. / О.А.Николайчук-М.:НИЦ ИНФРА-М,2020.-179 с.(Науч.мысль)(О)</t>
  </si>
  <si>
    <t>ДАЛЬНИЙ ВОСТОК РОССИИ: ОТ ДЕПРЕССИВНОГО РЕГИОНА К ТЕРРИТОРИИ БУДУЩЕГО</t>
  </si>
  <si>
    <t>978-5-16-016127-3</t>
  </si>
  <si>
    <t>187350.04.01</t>
  </si>
  <si>
    <t>Дао и телос в смысл. измер.культур вост.и запад. типа: Моногр. /С.Е.Ячин-М.:НИЦ ИНФРА-М,2017-324с(о)</t>
  </si>
  <si>
    <t>ДАО И ТЕЛОС В СМЫСЛОВОМ ИЗМЕРЕНИИ КУЛЬТУР ВОСТОЧНОГО И ЗАПАДНОГО ТИПА</t>
  </si>
  <si>
    <t>Ячин С. Е., Конончук Д. В., Поповкин А. В., Буланенко М. Е.</t>
  </si>
  <si>
    <t>978-5-16-006010-1</t>
  </si>
  <si>
    <t>41.03.06, 44.03.05, 47.03.01, 47.04.01, 51.03.01, 51.04.01</t>
  </si>
  <si>
    <t>774992.04.01</t>
  </si>
  <si>
    <t>Девиантология - социология и психология зла: Моногр. / Т.А.Хагуров - М.:НИЦ ИНФРА-М,2026. - 412 с.(О)</t>
  </si>
  <si>
    <t>ДЕВИАНТОЛОГИЯ - СОЦИОЛОГИЯ И ПСИХОЛОГИЯ ЗЛА</t>
  </si>
  <si>
    <t>Хагуров Т.А.</t>
  </si>
  <si>
    <t>978-5-16-017699-4</t>
  </si>
  <si>
    <t>37.03.01, 37.04.01, 37.05.01, 37.06.01, 39.03.01, 39.04.01, 39.04.02, 40.04.01, 40.06.01, 44.04.02, 44.05.01, 44.06.01, 44.07.02, 47.04.02, 47.06.01, 47.07.01</t>
  </si>
  <si>
    <t>Книжная социологическая премия имени Б. А. Грушина-2023, Лауреат</t>
  </si>
  <si>
    <t>759864.02.01</t>
  </si>
  <si>
    <t>Деглобализация: кризис неолиберализма...: Моногр. / Р.Э.Абдулов. - М.:НИЦ ИНФРА-М,2026 - 240 с.(п)</t>
  </si>
  <si>
    <t>ДЕГЛОБАЛИЗАЦИЯ: КРИЗИС НЕОЛИБЕРАЛИЗМА И ДВИЖЕНИЕ К НОВОМУ МИРОПОРЯДКУ</t>
  </si>
  <si>
    <t>Абдулов Р.Э., Джабборов Д.Б., Комолов О.О. и др.</t>
  </si>
  <si>
    <t>978-5-16-020047-7</t>
  </si>
  <si>
    <t>38.04.01, 38.05.01, 38.06.01, 40.04.01, 40.05.01, 40.06.01, 41.04.01, 41.04.04, 41.04.05, 41.06.01</t>
  </si>
  <si>
    <t>Национальный Исследовательский Технологический Университет "МИСИС"</t>
  </si>
  <si>
    <t>416650.06.01</t>
  </si>
  <si>
    <t>Деканы России: социологический портрет, технол..: Моногр./ С.Д.Резник-3 изд.- ИНФРА-М,2023-204с(П)</t>
  </si>
  <si>
    <t>ДЕКАНЫ РОССИИ: СОЦИОЛОГИЧЕСКИЙ ПОРТРЕТ, ТЕХНОЛОГИИ И ОРГАНИЗАЦИЯ ДЕЯТЕЛЬНОСТИ, ИЗД.3</t>
  </si>
  <si>
    <t>Резник С.Д., Сазыкина О.А., Фомин Г.Б. и др.</t>
  </si>
  <si>
    <t>978-5-16-018688-7</t>
  </si>
  <si>
    <t>38.03.01, 38.03.03, 38.03.04, 38.04.03, 38.04.04, 41.03.06</t>
  </si>
  <si>
    <t>0316</t>
  </si>
  <si>
    <t>053150.14.01</t>
  </si>
  <si>
    <t>Декларация прав и свобод человека и гражданина. - М.: ИД РИОР: ИНФРА-М, 2024. - 11 с. (О)</t>
  </si>
  <si>
    <t>ДЕКЛАРАЦИЯ ПРАВ И СВОБОД ЧЕЛОВЕКА И ГРАЖДАНИНА</t>
  </si>
  <si>
    <t>978-5-369-00626-9</t>
  </si>
  <si>
    <t>38.03.04, 40.02.02, 40.02.04, 40.03.01, 40.04.01, 44.03.05</t>
  </si>
  <si>
    <t>0104</t>
  </si>
  <si>
    <t>845070.01.01</t>
  </si>
  <si>
    <t>Декоративное садоводство с основами ландшафтного проектирования -М.:НИЦ ИНФРА-М,2026.-514 с..-(Интересно знать) [16+](п)</t>
  </si>
  <si>
    <t>ДЕКОРАТИВНОЕ САДОВОДСТВО С ОСНОВАМИ ЛАНДШАФТНОГО ПРОЕКТИРОВАНИЯ</t>
  </si>
  <si>
    <t>978-5-16-020475-8</t>
  </si>
  <si>
    <t>35.02.12</t>
  </si>
  <si>
    <t>846611.04.01</t>
  </si>
  <si>
    <t>Декоративно-прикладное искусство / В.Н.Молотова - М.:Форум, НИЦ ИНФРА-М,2025. - 288 с.:цв. ил.[16+](п)</t>
  </si>
  <si>
    <t>ДЕКОРАТИВНО-ПРИКЛАДНОЕ ИСКУССТВО, ИЗД.3</t>
  </si>
  <si>
    <t>Молотова В.Н.</t>
  </si>
  <si>
    <t>978-5-00091-817-3</t>
  </si>
  <si>
    <t>54.01.20</t>
  </si>
  <si>
    <t>845814.03.01</t>
  </si>
  <si>
    <t>Деловой этикет / И.Н.Кузнецов - М.:НИЦ ИНФРА-М,2026. - 348 с.(Интересно знать)(п)</t>
  </si>
  <si>
    <t>ДЕЛОВОЙ ЭТИКЕТ</t>
  </si>
  <si>
    <t>Кузнецов И.Н.</t>
  </si>
  <si>
    <t>978-5-16-020485-7</t>
  </si>
  <si>
    <t>38.03.03, 38.03.05, 43.03.01</t>
  </si>
  <si>
    <t>Белорусский государственный университет</t>
  </si>
  <si>
    <t>714112.06.01</t>
  </si>
  <si>
    <t>Демократия: опыт критического анализа: Монография - М.:Юр.Норма,2025. - 184 с.(П)</t>
  </si>
  <si>
    <t>ДЕМОКРАТИЯ: ОПЫТ КРИТИЧЕСКОГО АНАЛИЗА</t>
  </si>
  <si>
    <t>978-5-00156-005-0</t>
  </si>
  <si>
    <t>40.04.01, 41.03.04, 41.03.06, 41.04.04, 41.04.05</t>
  </si>
  <si>
    <t>656171.05.01</t>
  </si>
  <si>
    <t>Депоощрение по российскому праву...: Моногр. / В.М.Баранов - М.:НИЦ ИНФРА-М,2025 - 448 с.(П)</t>
  </si>
  <si>
    <t>ДЕПООЩРЕНИЕ ПО РОССИЙСКОМУ ПРАВУ (ДОКТРИНА, ПРАКТИКА, ТЕХНИКА)</t>
  </si>
  <si>
    <t>Баранов В.М., Чернявский А.Г., Девяшин И.В. и др.</t>
  </si>
  <si>
    <t>978-5-16-012869-6</t>
  </si>
  <si>
    <t>724344.02.01</t>
  </si>
  <si>
    <t>Дерптский Проф. институт - науч.-педагог. шк. России / Н.В.Карнаух-М.:НИЦ ИНФРА-М,2024.-331 с.(О)</t>
  </si>
  <si>
    <t>ДЕРПТСКИЙ ПРОФЕССОРСКИЙ ИНСТИТУТ - НАУЧНО-ПЕДАГОГИЧЕСКАЯ ШКОЛА РОССИИ</t>
  </si>
  <si>
    <t>Карнаух Н.В.</t>
  </si>
  <si>
    <t>978-5-16-015888-4</t>
  </si>
  <si>
    <t>Благовещенский государственный педагогический университет</t>
  </si>
  <si>
    <t>785112.02.01</t>
  </si>
  <si>
    <t>Деструктивное воздействие на несовершеннолетних: Моногр. / С.М.Воробьев.-М.:НИЦ ИНФРА-М,2024.-179 с.(П)</t>
  </si>
  <si>
    <t>ДЕСТРУКТИВНОЕ ВОЗДЕЙСТВИЕ НА НЕСОВЕРШЕННОЛЕТНИХ: ТЕОРИЯ И ПРАКТИКА ПРОТИВОДЕЙСТВИЯ</t>
  </si>
  <si>
    <t>Воробьев С.М., Бычкова А.М., Курилкин К.А. и др.</t>
  </si>
  <si>
    <t>978-5-16-017880-6</t>
  </si>
  <si>
    <t>39.04.02, 40.04.01, 40.05.02</t>
  </si>
  <si>
    <t>753302.04.01</t>
  </si>
  <si>
    <t>Десять лекций о праве: Моногр. / В.Д.Зорькин - М.:Юр.Норма,ИНФРА-М,2025 - 400 с.(П)</t>
  </si>
  <si>
    <t>ДЕСЯТЬ ЛЕКЦИЙ О ПРАВЕ</t>
  </si>
  <si>
    <t>978-5-00156-152-1</t>
  </si>
  <si>
    <t>40.03.01, 40.04.01, 40.05.04, 40.06.01</t>
  </si>
  <si>
    <t>300800.13.01</t>
  </si>
  <si>
    <t>Дети и телевидение: история психол.исслед...: Моногр. / О.И.Маховская - М.:НИЦ ИНФРА-М,2026 - 172с(О)</t>
  </si>
  <si>
    <t>ДЕТИ И ТЕЛЕВИДЕНИЕ: ИСТОРИЯ ПСИХОЛОГИЧЕСКИХ ИССЛЕДОВАНИЙ И ЭКСПЕРТИЗЫ ТЕЛЕПРОГРАММ ДЛЯ ДЕТЕЙ</t>
  </si>
  <si>
    <t>Маховская О.И., Марченко Ф.О.</t>
  </si>
  <si>
    <t>978-5-16-010167-5</t>
  </si>
  <si>
    <t>37.03.01, 37.04.01</t>
  </si>
  <si>
    <t>Институт психологии Российской академии наук</t>
  </si>
  <si>
    <t>255300.12.01</t>
  </si>
  <si>
    <t>Дефекты прав.регулиров.охраны окруж.среды: Моногр. / Н.И.Хлуденева - М.:НИЦ ИНФРА-М, 2025 - 172 с.(о)</t>
  </si>
  <si>
    <t>ДЕФЕКТЫ ПРАВОВОГО РЕГУЛИРОВАНИЯ ОХРАНЫ ОКРУЖАЮЩЕЙ СРЕДЫ</t>
  </si>
  <si>
    <t>Хлуденева Н. И.</t>
  </si>
  <si>
    <t>978-5-16-016446-5</t>
  </si>
  <si>
    <t>658928.06.01</t>
  </si>
  <si>
    <t>Диалектика отечественного военного прогресса: Моногр. /С.В.Максимов-М.:НИЦ ИНФРА-М,СФУ,2024-355с.(П)</t>
  </si>
  <si>
    <t>ДИАЛЕКТИКА ОТЕЧЕСТВЕННОГО ВОЕННОГО ПРОГРЕССА</t>
  </si>
  <si>
    <t>978-5-16-016296-6</t>
  </si>
  <si>
    <t>56.04.01, 56.04.10, 56.05.01</t>
  </si>
  <si>
    <t>814125.01.01</t>
  </si>
  <si>
    <t>Диалектическая методология построения теории в совр/// / В.И.Столяров-М.:НИЦ ИНФРА-М,2024.-482 с.(п)</t>
  </si>
  <si>
    <t>ДИАЛЕКТИЧЕСКАЯ МЕТОДОЛОГИЯ ПОСТРОЕНИЯ ТЕОРИИ В СОВРЕМЕННОМ НАУЧНОМ ПОЗНАНИИ</t>
  </si>
  <si>
    <t>Столяров В.И.</t>
  </si>
  <si>
    <t>978-5-16-019233-8</t>
  </si>
  <si>
    <t>00.04.16, 00.05.16, 47.04.01, 47.06.01</t>
  </si>
  <si>
    <t>Российский университет спорта «ГЦОЛИФК»</t>
  </si>
  <si>
    <t>735076.01.01</t>
  </si>
  <si>
    <t>Диалектический материализм: взаимосвязь категорий...: Моногр. / А.Т.Свергузов-М.:НИЦ ИНФРА-М,2022.-204 с.(О)</t>
  </si>
  <si>
    <t>ДИАЛЕКТИЧЕСКИЙ МАТЕРИАЛИЗМ: ВЗАИМОСВЯЗЬ КАТЕГОРИЙ «МАТЕРИЯ» И «НЕБЫТИЕ»</t>
  </si>
  <si>
    <t>Свергузов А.Т.</t>
  </si>
  <si>
    <t>978-5-16-016306-2</t>
  </si>
  <si>
    <t>00.03.11, 00.05.11, 47.04.01, 47.06.01</t>
  </si>
  <si>
    <t>Казанский национальный исследовательский технологический университет</t>
  </si>
  <si>
    <t>678173.07.01</t>
  </si>
  <si>
    <t>Дидактика практико-ориентир. образования: Моногр. / В.А.Беликов - 2 изд. - М.:НИЦ ИНФРА-М,2026 - 323 с.(П)</t>
  </si>
  <si>
    <t>ДИДАКТИКА ПРАКТИКО-ОРИЕНТИРОВАННОГО ОБРАЗОВАНИЯ, ИЗД.2</t>
  </si>
  <si>
    <t>Беликов В.А., Романов П.Ю., Валеев А.С. и др.</t>
  </si>
  <si>
    <t>978-5-16-015686-6</t>
  </si>
  <si>
    <t>37.03.01, 44.03.01, 44.03.02, 44.03.04, 44.03.05, 44.04.01</t>
  </si>
  <si>
    <t>Уфимский Университет Науки и Технологий, Сибайский институт ф-л</t>
  </si>
  <si>
    <t>678173.02.01</t>
  </si>
  <si>
    <t>Дидактика практико-ориентир. образования: Моногр. / В.А.Беликов.-М.:НИЦ ИНФРА-М,2019.-267с(П)</t>
  </si>
  <si>
    <t>ДИДАКТИКА ПРАКТИКО-ОРИЕНТИРОВАННОГО ОБРАЗОВАНИЯ</t>
  </si>
  <si>
    <t>Беликов В.А., Романов П.Ю., Валеев А.С.</t>
  </si>
  <si>
    <t>978-5-16-014073-5</t>
  </si>
  <si>
    <t>439700.03.01</t>
  </si>
  <si>
    <t>Диктат иллюзий: Монография / С.В.Борзых - М.: НИЦ ИНФРА-М, 2023 - 119 с. -(Научная мысль) (О)</t>
  </si>
  <si>
    <t>ДИКТАТ ИЛЛЮЗИЙ</t>
  </si>
  <si>
    <t>978-5-16-011363-0</t>
  </si>
  <si>
    <t>47.03.01, 47.04.01</t>
  </si>
  <si>
    <t>407150.05.01</t>
  </si>
  <si>
    <t>Динамика гидросистем: Моногр. / Е.А.Мандраков - М.:НИЦ ИНФРА-М, СФУ,2023 - 128 с.(Науч.мысль)(О)</t>
  </si>
  <si>
    <t>ДИНАМИКА ГИДРОСИСТЕМ</t>
  </si>
  <si>
    <t>Мандраков Е. А., Никитин А. А.</t>
  </si>
  <si>
    <t>978-5-16-006374-4</t>
  </si>
  <si>
    <t>15.03.01, 15.03.02, 15.04.01</t>
  </si>
  <si>
    <t>347300.05.01</t>
  </si>
  <si>
    <t>Динамика трудового правоотношения: Моногр. - М.:Юр.Норма, НИЦ ИНФРА-М,2023.-192 с.(О)</t>
  </si>
  <si>
    <t>ДИНАМИКА ТРУДОВОГО ПРАВООТНОШЕНИЯ</t>
  </si>
  <si>
    <t>Бондаренко Э.Н.</t>
  </si>
  <si>
    <t>978-5-91768-602-8</t>
  </si>
  <si>
    <t>800775.01.01</t>
  </si>
  <si>
    <t>Динамика численности волка и крупных копытных в нек. регионах Зап. Сибири: Моногр. / В.М.Переясловец-М.:НИЦ ИНФРА-М,2024-176 с.(о)</t>
  </si>
  <si>
    <t>ДИНАМИКА ЧИСЛЕННОСТИ ВОЛКА И КРУПНЫХ КОПЫТНЫХ В НЕКОТОРЫХ РЕГИОНАХ ЗАПАДНОЙ СИБИРИ</t>
  </si>
  <si>
    <t>Переясловец В.М., Ердаков Л.Н.</t>
  </si>
  <si>
    <t>978-5-16-018357-2</t>
  </si>
  <si>
    <t>06.04.01, 06.06.01</t>
  </si>
  <si>
    <t>Институт систематики и экологии животных Сибирского отделения Российской Академии Наук</t>
  </si>
  <si>
    <t>705790.05.01</t>
  </si>
  <si>
    <t>Динамическая оптимизация: поиск абсолют. экстремума: Моногр. / Е.Н.Орёл-2 изд.-М.:НИЦ ИНФРА-М,2024.-192 с.(о)</t>
  </si>
  <si>
    <t>ДИНАМИЧЕСКАЯ ОПТИМИЗАЦИЯ: ПОИСК АБСОЛЮТНОГО ЭКСТРЕМУМА, ИЗД.2</t>
  </si>
  <si>
    <t>Орёл Е.Н., Орёл О.Е.</t>
  </si>
  <si>
    <t>978-5-16-018768-6</t>
  </si>
  <si>
    <t>01.03.01, 01.03.02, 01.03.04, 01.04.01, 01.04.02, 01.04.04, 01.05.01</t>
  </si>
  <si>
    <t>0224</t>
  </si>
  <si>
    <t>705790.04.01</t>
  </si>
  <si>
    <t>Динамическая оптимизация: поиск абсолютного экстремума: Моногр. / Е.Н.Орёл-М.:НИЦ ИНФРА-М,2023-163 с(О)</t>
  </si>
  <si>
    <t>ДИНАМИЧЕСКАЯ ОПТИМИЗАЦИЯ: ПОИСК АБСОЛЮТНОГО ЭКСТРЕМУМА</t>
  </si>
  <si>
    <t>978-5-16-016233-1</t>
  </si>
  <si>
    <t>741372.01.01</t>
  </si>
  <si>
    <t>Динамическая устойчивость холдингов: Моногр. / М.Г.Лазарева-М.:НИЦ ИНФРА-М,2021.-251 с.(Науч.мысль)(О)</t>
  </si>
  <si>
    <t>ДИНАМИЧЕСКАЯ УСТОЙЧИВОСТЬ ХОЛДИНГОВ</t>
  </si>
  <si>
    <t>Лазарева М.Г.</t>
  </si>
  <si>
    <t>978-5-16-016461-8</t>
  </si>
  <si>
    <t>776614.01.01</t>
  </si>
  <si>
    <t>Динамические аспекты управ. культуры орг. внутр. дел Рос. / Д.Г.Передня-М.:НИЦ ИНФРА-М,2022.-135 с.(О)</t>
  </si>
  <si>
    <t>ДИНАМИЧЕСКИЕ АСПЕКТЫ УПРАВЛЕНЧЕСКОЙ КУЛЬТУРЫ ОРГАНОВ ВНУТРЕННИХ ДЕЛ РОССИИ</t>
  </si>
  <si>
    <t>Передня Д.Г.</t>
  </si>
  <si>
    <t>978-5-16-017761-8</t>
  </si>
  <si>
    <t>40.03.01, 40.05.02, 40.06.01</t>
  </si>
  <si>
    <t>Академия управления Министерства внутренних дел Российской Федерации</t>
  </si>
  <si>
    <t>750180.03.01</t>
  </si>
  <si>
    <t>Династия купцов Сибиряковых и ее роль в развитии Вост. Сибири в XVIII... / А.С.Дикун-М.:НИЦ ИНФРА-М,2024-165с.(О)</t>
  </si>
  <si>
    <t>ДИНАСТИЯ КУПЦОВ СИБИРЯКОВЫХ И ЕЕ РОЛЬ В РАЗВИТИИ ВОСТОЧНОЙ СИБИРИ В XVIII - НАЧАЛЕ XX ВЕКА</t>
  </si>
  <si>
    <t>Дикун А.С.</t>
  </si>
  <si>
    <t>978-5-16-016750-3</t>
  </si>
  <si>
    <t>Иркутский государственный университет</t>
  </si>
  <si>
    <t>858458.01.01</t>
  </si>
  <si>
    <t>Дипломатия Ирана и России в условиях санкционного давления (2003-2023 годы): моногр. / Д.Ранджбар Мешкин - М.:НИЦ ИНФРА-М,2025. - 154 с.(п)</t>
  </si>
  <si>
    <t>ДИПЛОМАТИЯ ИРАНА И РОССИИ В УСЛОВИЯХ САНКЦИОННОГО ДАВЛЕНИЯ (2003-2023 ГОДЫ)</t>
  </si>
  <si>
    <t>Ранджбар Мешкин Д.</t>
  </si>
  <si>
    <t>978-5-16-020988-3</t>
  </si>
  <si>
    <t>340100.04.01</t>
  </si>
  <si>
    <t>Дисбаланс спроса и предложения...: Моногр. / В.М.Гончаренко.-М.:Форум, НИЦ ИНФРА-М,2021.-85 с.(о)</t>
  </si>
  <si>
    <t>ДИСБАЛАНС СПРОСА И ПРЕДЛОЖЕНИЯ В УСЛОВИЯХ НЕОПРЕДЕЛЕННОСТИ</t>
  </si>
  <si>
    <t>Гончаренко В.М., Елаева М.С., Шаповал А.Б.</t>
  </si>
  <si>
    <t>978-5-00091-750-3</t>
  </si>
  <si>
    <t>705497.03.01</t>
  </si>
  <si>
    <t>Дискурсивное исслед. православ. религиозной идентич.: Моногр./ И.А.Юрасов-М.:НИЦ ИНФРА-М,2024-195с.(о)</t>
  </si>
  <si>
    <t>ДИСКУРСИВНОЕ ИССЛЕДОВАНИЕ ПРАВОСЛАВНОЙ РЕЛИГИОЗНОЙ ИДЕНТИЧНОСТИ</t>
  </si>
  <si>
    <t>Юрасов И.А., Павлова О.А.</t>
  </si>
  <si>
    <t>978-5-16-015265-3</t>
  </si>
  <si>
    <t>Религия. Теология</t>
  </si>
  <si>
    <t>47.03.01, 47.04.03, 47.06.01, 48.03.01, 48.04.01, 48.06.01</t>
  </si>
  <si>
    <t>Финансовый университет при Правительстве Российской Федерации, Пензенский ф-л</t>
  </si>
  <si>
    <t>777502.01.01</t>
  </si>
  <si>
    <t>Дискуссии вокруг процента. Есть ли альтернатива?: :моногр. / М.Г.Мингатин-М.:НИЦ ИНФРА-М,2023.-181 с.(О)</t>
  </si>
  <si>
    <t>ДИСКУССИИ ВОКРУГ ПРОЦЕНТА. ЕСТЬ ЛИ АЛЬТЕРНАТИВА?</t>
  </si>
  <si>
    <t>Мингатин М.Г.</t>
  </si>
  <si>
    <t>978-5-16-017854-7</t>
  </si>
  <si>
    <t>38.04.01, 38.04.04, 38.04.08, 38.06.01</t>
  </si>
  <si>
    <t>Российский исламский институт</t>
  </si>
  <si>
    <t>672782.08.01</t>
  </si>
  <si>
    <t>Диспетчерское упр. орг. вагонопотоков и перевозок: Моногр. / Д.Ю.Левин - М.:НИЦ ИНФРА-М,2024-301с(П)</t>
  </si>
  <si>
    <t>ДИСПЕТЧЕРСКОЕ УПРАВЛЕНИЕ ОРГАНИЗАЦИЕЙ ВАГОНОПОТОКОВ И ПЕРЕВОЗОК</t>
  </si>
  <si>
    <t>978-5-16-013482-6</t>
  </si>
  <si>
    <t>23.05.03, 23.05.04, 23.06.01</t>
  </si>
  <si>
    <t>670752.04.01</t>
  </si>
  <si>
    <t>Диссипативные структуры в тонких нанокристал..: Моногр./Л.И.Квеглис-М.:НИЦ ИНФРА-М,СФУ,2024-203с(о)</t>
  </si>
  <si>
    <t>ДИССИПАТИВНЫЕ СТРУКТУРЫ В ТОНКИХ НАНОКРИСТАЛЛИЧЕСКИХ ПЛЕНКАХ</t>
  </si>
  <si>
    <t>Квеглис Л.И., Кашкин В.Б., Шабанов В.Ф.</t>
  </si>
  <si>
    <t>978-5-16-018188-2</t>
  </si>
  <si>
    <t>03.04.02, 03.06.01, 22.04.01, 22.06.01</t>
  </si>
  <si>
    <t>674989.03.01</t>
  </si>
  <si>
    <t>Дистилляционные электропечи: Моногр./ В.С.Чередниченко-М.:НИЦ ИНФРА-М,2023.-394с(Науч.мысль)(П)</t>
  </si>
  <si>
    <t>ДИСТИЛЛЯЦИОННЫЕ ЭЛЕКТРОПЕЧИ</t>
  </si>
  <si>
    <t>Чередниченко В.С.</t>
  </si>
  <si>
    <t>978-5-16-013626-4</t>
  </si>
  <si>
    <t>22.03.01, 22.04.02</t>
  </si>
  <si>
    <t>851139.01.01</t>
  </si>
  <si>
    <t>Дисциплинарная ответств. в сис. гос. службы РФ: Моногр. / Э.Л.Лещина - М.:НИЦ ИНФРА-М,2026 - 211 с.(п)</t>
  </si>
  <si>
    <t>ДИСЦИПЛИНАРНАЯ ОТВЕТСТВЕННОСТЬ В СИСТЕМЕ ГОСУДАРСТВЕННОЙ СЛУЖБЫ РОССИЙСКОЙ ФЕДЕРАЦИИ</t>
  </si>
  <si>
    <t>Лещина Э.Л.</t>
  </si>
  <si>
    <t>978-5-16-020925-8</t>
  </si>
  <si>
    <t>38.04.04, 38.06.01, 38.07.02, 40.04.01, 40.05.01, 40.05.02, 40.05.04, 40.06.01</t>
  </si>
  <si>
    <t>801662.01.01</t>
  </si>
  <si>
    <t>Дисциплинарная ответственность: правовые механизмы..: Моногр// М.Б.Добробаба-М.:Юр. НОРМА,2023.-352 с.(п)</t>
  </si>
  <si>
    <t>ДИСЦИПЛИНАРНАЯ ОТВЕТСТВЕННОСТЬ: ПРАВОВЫЕ МЕХАНИЗМЫ  ОБЕСПЕЧЕНИЯ ЭФФЕКТИВНОСТИ В СИСТЕМЕ ГОСУДАРСТВЕННОЙ СЛУЖБЫ: ПРОБЛЕМЫ ФОРМИРОВАНИЯ</t>
  </si>
  <si>
    <t>Добробаба М.Б.</t>
  </si>
  <si>
    <t>978-5-00156-297-9</t>
  </si>
  <si>
    <t>38.03.04, 38.04.04, 40.04.01, 40.06.01</t>
  </si>
  <si>
    <t>803690.05.01</t>
  </si>
  <si>
    <t>Дисциплинарный устав Вооруженных Сил РФ - 2-е изд. - М.:НИЦ ИНФРА-М,2024. - 66 с.(о)</t>
  </si>
  <si>
    <t>ДИСЦИПЛИНАРНЫЙ УСТАВ ВООРУЖЕННЫХ СИЛ РОССИЙСКОЙ ФЕДЕРАЦИИ, ИЗД.2</t>
  </si>
  <si>
    <t>978-5-16-020059-0</t>
  </si>
  <si>
    <t>Устав</t>
  </si>
  <si>
    <t>56.05.01, 56.05.05</t>
  </si>
  <si>
    <t>803690.03.01</t>
  </si>
  <si>
    <t>Дисциплинарный устав Вооруженных Сил РФ - М.:НИЦ ИНФРА-М,2024.-65 с.(о)</t>
  </si>
  <si>
    <t>ДИСЦИПЛИНАРНЫЙ УСТАВ ВООРУЖЕННЫХ СИЛ РОССИЙСКОЙ ФЕДЕРАЦИИ</t>
  </si>
  <si>
    <t>978-5-16-018487-6</t>
  </si>
  <si>
    <t>479200.04.01</t>
  </si>
  <si>
    <t>Дифракционный анализ деформир.металлов: Моногр./ Ф.Ф.Сатдарова-М: ИЦ РИОР,НИЦ ИНФРА-М, 2023-204с (о)</t>
  </si>
  <si>
    <t>ДИФРАКЦИОННЫЙ АНАЛИЗ ДЕФОРМИРОВАННЫХ МЕТАЛЛОВ: ТЕОРИЯ, МЕТОДИКА, ПРОГРАММНОЕ ОБЕСПЕЧЕНИЕ</t>
  </si>
  <si>
    <t>Сатдарова Ф.Ф.</t>
  </si>
  <si>
    <t>978-5-369-01527-8</t>
  </si>
  <si>
    <t>04.03.02, 22.03.02</t>
  </si>
  <si>
    <t>424500.07.01</t>
  </si>
  <si>
    <t>Дифференциальная психофизиология и психология: Моногр./Т.Ф.Базылевич - НИЦ ИНФРА-М,2022-340(Науч.мысль)</t>
  </si>
  <si>
    <t>ДИФФЕРЕНЦИАЛЬНАЯ ПСИХОФИЗИОЛОГИЯ И ПСИХОЛОГИЯ: КЛЮЧЕВЫЕ ИДЕИ</t>
  </si>
  <si>
    <t>Базылевич Т. Ф.</t>
  </si>
  <si>
    <t>978-5-16-010332-7</t>
  </si>
  <si>
    <t>37.03.01, 37.04.01, 44.03.01, 44.03.05</t>
  </si>
  <si>
    <t>Московский государственный университет технологий и управления им. К.Г. Разумовского</t>
  </si>
  <si>
    <t>479450.04.01</t>
  </si>
  <si>
    <t>Диффундирование маркетинга в производ.промышл.: Моногр./В.Д.Сыров-М.:ИЦ РИОР,НИЦ ИНФРА-М,2023-100(о)</t>
  </si>
  <si>
    <t>ДИФФУНДИРОВАНИЕ МАРКЕТИНГА В ПРОИЗВОДСТВО ПРОМЫШЛЕННОГО ПРЕДПРИЯТИЯ</t>
  </si>
  <si>
    <t>Сыров В.Д.</t>
  </si>
  <si>
    <t>978-5-369-01392-2</t>
  </si>
  <si>
    <t>03.03.02, 38.03.01, 38.03.02, 38.04.01, 38.04.02, 38.06.01, 44.03.01, 44.03.05</t>
  </si>
  <si>
    <t>Владимирский государственный университет им. А.Г. и Н.Г. Столетовых</t>
  </si>
  <si>
    <t>829404.02.01</t>
  </si>
  <si>
    <t>Добро, доверие, справедливость, свобода в философ... / В.П.Сальников - 2 изд. - М.:НИЦ ИНФРА-М,2026 - 459 с.(п)</t>
  </si>
  <si>
    <t>ДОБРО, ДОВЕРИЕ, СПРАВЕДЛИВОСТЬ, СВОБОДА В ФИЛОСОФСКО-ПРАВОВОЙ МЫСЛИ:, ИЗД.2</t>
  </si>
  <si>
    <t>Сальников В.П., Виноградова Е.В., Воробьев А.О. и др.</t>
  </si>
  <si>
    <t>978-5-16-020015-6</t>
  </si>
  <si>
    <t>40.04.01, 40.06.01, 47.04.01</t>
  </si>
  <si>
    <t>332300.03.01</t>
  </si>
  <si>
    <t>Доверие в саморегул.соц.взаимоотношений..:Моногр. / В.И.Чупров-М.:Юр.Норма,НИЦ ИНФРА-М,2023-160с.(о)</t>
  </si>
  <si>
    <t>ДОВЕРИЕ В САМОРЕГУЛЯЦИИ СОЦИАЛЬНЫХ ВЗАИМООТНОШЕНИЙ В УСЛОВИЯХ НЕОПРЕДЕЛЕННОСТИ. ПОЧЕМУ НЕТ МИРА В УКРАИНЕ?</t>
  </si>
  <si>
    <t>Чупров В. И., Михеева В. В.</t>
  </si>
  <si>
    <t>978-5-91768-587-8</t>
  </si>
  <si>
    <t>38.03.04, 38.04.04, 39.03.01, 39.03.02, 39.04.01, 40.03.01, 40.04.01, 40.05.01, 41.03.01, 41.03.04, 41.03.05, 41.04.01, 41.04.04, 41.04.05, 44.03.01, 44.03.05</t>
  </si>
  <si>
    <t>Институт социально-политических исследований Российской академии наук</t>
  </si>
  <si>
    <t>725344.06.01</t>
  </si>
  <si>
    <t>Доверие. Недоверие. Право: Моногр. / А.Н.Кокотов - М.:Юр.Норма, НИЦ ИНФРА-М,2025 - 192 с.(П)</t>
  </si>
  <si>
    <t>ДОВЕРИЕ. НЕДОВЕРИЕ. ПРАВО</t>
  </si>
  <si>
    <t>Кокотов А.Н.</t>
  </si>
  <si>
    <t>978-5-00156-038-8</t>
  </si>
  <si>
    <t>40.03.01, 40.04.01, 40.05.01, 40.05.02, 40.06.01</t>
  </si>
  <si>
    <t>656014.07.01</t>
  </si>
  <si>
    <t>Договор в гражд.праве России: сравн.-прав.исслед./ Ю.Н.Андреев-М.:Юр.Норма,НИЦ ИНФРА-М,2023-272с.(П)</t>
  </si>
  <si>
    <t>ДОГОВОР В ГРАЖДАНСКОМ ПРАВЕ РОССИИ: СРАВНИТЕЛЬНО-ПРАВОВОЕ ИССЛЕДОВАНИЕ</t>
  </si>
  <si>
    <t>Андреев Ю.Н.</t>
  </si>
  <si>
    <t>978-5-91768-833-6</t>
  </si>
  <si>
    <t>665728.05.01</t>
  </si>
  <si>
    <t>Договор найма жилого помещ. и подоб.ему договоры: Моногр. / Д.А.Формакидов-М.:НИЦ ИНФРА-М,2024-189с.(о)</t>
  </si>
  <si>
    <t>ДОГОВОР НАЙМА ЖИЛОГО ПОМЕЩЕНИЯ И ПОДОБНЫЕ ЕМУ ДОГОВОРЫ</t>
  </si>
  <si>
    <t>978-5-16-013612-7</t>
  </si>
  <si>
    <t>435650.05.01</t>
  </si>
  <si>
    <t>Договор репо: цивилистич. исслед.: Моногр. / П.В.Хлюстов - М.:НИЦ ИНФРА-М,2022 - 198 с.(Науч.мысль)(О)</t>
  </si>
  <si>
    <t>ДОГОВОР РЕПО: ЦИВИЛИСТИЧЕСКОЕ ИССЛЕДОВАНИЕ</t>
  </si>
  <si>
    <t>Хлюстов П.В.</t>
  </si>
  <si>
    <t>978-5-16-006698-1</t>
  </si>
  <si>
    <t>Институт развития современных образовательных технологий</t>
  </si>
  <si>
    <t>682682.05.01</t>
  </si>
  <si>
    <t>Договоры в гражданском праве заруб.стран: Моногр. / С.В.Соловьева - М.:Юр.Норма,НИЦ ИНФРА-М,2024-336с(П)</t>
  </si>
  <si>
    <t>ДОГОВОРЫ В ГРАЖДАНСКОМ ПРАВЕ ЗАРУБЕЖНЫХ СТРАН</t>
  </si>
  <si>
    <t>Соловьева С.В., Гайдаенко-Шер Н.И., Грачев Д.О. и др.</t>
  </si>
  <si>
    <t>978-5-91768-911-1</t>
  </si>
  <si>
    <t>253500.06.01</t>
  </si>
  <si>
    <t>Договоры в пользу третьего лица..: Моногр. /Ю.Б.Фогельсон -М.: Юр.Норма, НИЦ ИНФРА-М, 2024. -192 с.(О)</t>
  </si>
  <si>
    <t>ДОГОВОРЫ В ПОЛЬЗУ ТРЕТЬЕГО ЛИЦА. ОПЫТ НЕДОГМАТИЧЕСКОГО ИССЛЕДОВАНИЯ</t>
  </si>
  <si>
    <t>Фогельсон Ю. Б., Ефремова М. Д.</t>
  </si>
  <si>
    <t>978-5-91768-452-9</t>
  </si>
  <si>
    <t>40.03.01, 40.06.01, 44.03.05</t>
  </si>
  <si>
    <t>845008.01.01</t>
  </si>
  <si>
    <t>Договоры в сфере орг. снаб. электрич. энергией в РФ / Е.О.Крассов-М.:Юр. НОРМА, НИЦ ИНФРА-М,2025.-296 с.(п)</t>
  </si>
  <si>
    <t>ДОГОВОРЫ В СФЕРЕ ОРГАНИЗАЦИИ СНАБЖЕНИЯ ЭЛЕКТРИЧЕСКОЙ ЭНЕРГИЕЙ В РФ</t>
  </si>
  <si>
    <t>Крассов Е.О.</t>
  </si>
  <si>
    <t>978-5-00156-399-0</t>
  </si>
  <si>
    <t>095810.16.01</t>
  </si>
  <si>
    <t>Доказательства и доказывание по угол. делам: Моногр. /С.А.Шейфер - 2 изд. - М.:Норма: ИНФРА-М, 2024 -240с(п)</t>
  </si>
  <si>
    <t>ДОКАЗАТЕЛЬСТВА И ДОКАЗЫВАНИЕ ПО УГОЛОВНЫМ ДЕЛАМ: ПРОБЛЕМЫ ТЕОРИИ И ПРАВОВОГО РЕГУЛИРОВАНИЯ, ИЗД.2</t>
  </si>
  <si>
    <t>Шейфер С. А.</t>
  </si>
  <si>
    <t>978-5-16-009310-9</t>
  </si>
  <si>
    <t>Самарский национальный исследовательский университет им. академика С.П. Королева</t>
  </si>
  <si>
    <t>842884.01.01</t>
  </si>
  <si>
    <t>Доказывание и доказательства по экономич. спорам... / О.С.Смолина-М.:Юр. НОРМА, НИЦ ИНФРА-М,2025.-284 с.(п)</t>
  </si>
  <si>
    <t>ДОКАЗЫВАНИЕ И ДОКАЗАТЕЛЬСТВА ПО ЭКОНОМИЧЕСКИМ СПОРАМ В</t>
  </si>
  <si>
    <t>Смолина О.С.</t>
  </si>
  <si>
    <t>978-5-00156-394-5</t>
  </si>
  <si>
    <t>640621.10.01</t>
  </si>
  <si>
    <t>Доказывание и принятие реш. в состяз. уголов. судопроизвод./ Л.Н.Масленникова, - 2 изд.-М.:Юр.Норма, НИЦ ИНФРА-М,2024.-448с(П)</t>
  </si>
  <si>
    <t>ДОКАЗЫВАНИЕ И ПРИНЯТИЕ РЕШЕНИЙ В СОСТЯЗАТЕЛЬНОМ УГОЛОВНОМ СУДОПРОИЗВОДСТВЕ, ИЗД.2</t>
  </si>
  <si>
    <t>Масленникова Л.Н.</t>
  </si>
  <si>
    <t>978-5-00156-153-8</t>
  </si>
  <si>
    <t>40.03.01</t>
  </si>
  <si>
    <t>640621.04.01</t>
  </si>
  <si>
    <t>Доказывание и принятие реш.в состязат.уголов.судопр.:Моногр./Л.Н.Масленникова -М:Юр.Норма,НИЦ ИНФРА-М,2019-384с(П)</t>
  </si>
  <si>
    <t>ДОКАЗЫВАНИЕ И ПРИНЯТИЕ РЕШЕНИЙ В СОСТЯЗАТЕЛЬНОМ УГОЛОВНОМ СУДОПРОИЗВОДСТВЕ</t>
  </si>
  <si>
    <t>978-5-91768-768-1</t>
  </si>
  <si>
    <t>764165.01.01</t>
  </si>
  <si>
    <t>Доктрина финанс.-правового статуса муниципал. образ. в РФ и его реализация / Покачалова Е.В.-М.:НИЦ ИНФРА-М,2022-480с(П)</t>
  </si>
  <si>
    <t>ДОКТРИНА ФИНАНСОВО-ПРАВОВОГО СТАТУСА МУНИЦИПАЛЬНЫХ ОБРАЗОВАНИЙ В РОССИЙСКОЙ ФЕДЕРАЦИИ И ЕГО РЕАЛИЗАЦИЯ</t>
  </si>
  <si>
    <t>Миронова С.М., Покачалова Е.В.</t>
  </si>
  <si>
    <t>978-5-16-017197-5</t>
  </si>
  <si>
    <t>38.04.04, 38.06.01, 40.04.01, 40.06.01</t>
  </si>
  <si>
    <t>Российская академия народного хозяйства и государственной службы при Президенте РФ, ф-л Волгоградский институт управления</t>
  </si>
  <si>
    <t>664349.05.01</t>
  </si>
  <si>
    <t>Доктрина, законотворчество, судебная практика: вопр...: Моногр. / Т.Э.Шуберт - М.:НИЦ ИНФРА-М,2024-119с</t>
  </si>
  <si>
    <t>ДОКТРИНА, ЗАКОНОТВОРЧЕСТВО, СУДЕБНАЯ ПРАКТИКА: ВОПРОСЫ ВЗАИМОВЛИЯНИЯ</t>
  </si>
  <si>
    <t>Шуберт Т.Э.</t>
  </si>
  <si>
    <t>978-5-16-013111-5</t>
  </si>
  <si>
    <t>810032.04.01</t>
  </si>
  <si>
    <t>Доктринальные основы прак. Верхов. Суда РФ / Т.Я.Хабриева - 2 изд. - М.:Юр. НОРМА, НИЦ ИНФРА-М,2025 - 452 с.(п)</t>
  </si>
  <si>
    <t>ДОКТРИНАЛЬНЫЕ ОСНОВЫ ПРАКТИКИ ВЕРХОВНОГО СУДА РОССИЙСКОЙ ФЕДЕРАЦИИ, ИЗД.2</t>
  </si>
  <si>
    <t>Хабриева Т.Я.</t>
  </si>
  <si>
    <t>978-5-00156-434-8</t>
  </si>
  <si>
    <t>810032.03.01</t>
  </si>
  <si>
    <t>Доктринальные основы практики Верховного Суда РФ / Т.Я.Хабриева-М.:Юр. НОРМА, НИЦ ИНФРА-М,2024.-384 с.(п)</t>
  </si>
  <si>
    <t>ДОКТРИНАЛЬНЫЕ ОСНОВЫ ПРАКТИКИ ВЕРХОВНОГО СУДА РОССИЙСКОЙ ФЕДЕРАЦИИ</t>
  </si>
  <si>
    <t>978-5-00156-322-8</t>
  </si>
  <si>
    <t>440200.03.01</t>
  </si>
  <si>
    <t>Документационное обеспеч. внутривуз. менед.: Моногр. / И.А.Панов-М.:НИЦ ИНФРА-М,2024.-110 с.(Науч.мысль)(о)</t>
  </si>
  <si>
    <t>ДОКУМЕНТАЦИОННОЕ ОБЕСПЕЧЕНИЕ ВНУТРИВУЗОВСКОГО МЕНЕДЖМЕНТА</t>
  </si>
  <si>
    <t>ПановИ.А., РезникС.Д.</t>
  </si>
  <si>
    <t>978-5-16-011366-1</t>
  </si>
  <si>
    <t>38.03.02, 38.03.03, 38.04.02, 38.04.03</t>
  </si>
  <si>
    <t>801606.02.01</t>
  </si>
  <si>
    <t>Долговечность конструкцион. бетона при морозных...: Моногр. / В.В.Малюк - М.:НИЦ ИНФРА-М,2025. - 226 с.(о)</t>
  </si>
  <si>
    <t>ДОЛГОВЕЧНОСТЬ КОНСТРУКЦИОННОГО БЕТОНА ПРИ МОРОЗНЫХ И СОЛЕВЫХ  ВОЗДЕЙСТВИЯХ: МОНИТОРИНГ, ИСПЫТАНИЯ, РЕКОМЕНДАЦИИ</t>
  </si>
  <si>
    <t>Малюк В.В., Малюк В.Д., Леонович С.Н.</t>
  </si>
  <si>
    <t>978-5-16-018625-2</t>
  </si>
  <si>
    <t>08.03.01</t>
  </si>
  <si>
    <t>Сахалинский государственный университет</t>
  </si>
  <si>
    <t>750224.01.01</t>
  </si>
  <si>
    <t>Долговечность портовых железобетонных конструкций: Моногр. / С.Н.Леонович-М.:НИЦ ИНФРА-М,2022.-315 с.(О)</t>
  </si>
  <si>
    <t>ДОЛГОВЕЧНОСТЬ ПОРТОВЫХ ЖЕЛЕЗОБЕТОННЫХ КОНСТРУКЦИЙ (ДАЛЬНИЙ ВОСТОК И САХАЛИН)</t>
  </si>
  <si>
    <t>Леонович С.Н., Шалый Е.Е., Полонина Е.Н. и др.</t>
  </si>
  <si>
    <t>978-5-16-017154-8</t>
  </si>
  <si>
    <t>08.03.01, 08.04.01, 08.05.01, 08.06.01</t>
  </si>
  <si>
    <t>Белорусский национальный технический университет</t>
  </si>
  <si>
    <t>773947.02.01</t>
  </si>
  <si>
    <t>Допустимые пределы ограничения авторских прав...: Моногр. / Е.В.Балабанова-М.:НИЦ ИНФРА-М,2024.-205 с.(П)</t>
  </si>
  <si>
    <t>ДОПУСТИМЫЕ ПРЕДЕЛЫ ОГРАНИЧЕНИЯ АВТОРСКИХ ПРАВ В КОНТЕКСТЕ ОТЕЧЕСТВЕННОГО, ЗАРУБЕЖНОГО И МЕЖДУНАРОДНОГО ПРАВА</t>
  </si>
  <si>
    <t>Балабанова Е.В.</t>
  </si>
  <si>
    <t>978-5-16-017509-6</t>
  </si>
  <si>
    <t>38.04.02, 40.03.01, 40.04.01</t>
  </si>
  <si>
    <t>857395.01.01</t>
  </si>
  <si>
    <t>Достоевский - Ницше: Пробл. человека: Моногр. / В.В.Дудкин, - 2 изд. - М.:НИЦ ИНФРА-М,2025. - 213 с.(п)</t>
  </si>
  <si>
    <t>ДОСТОЕВСКИЙ - НИЦШЕ: ПРОБЛЕМА ЧЕЛОВЕКА, ИЗД.2</t>
  </si>
  <si>
    <t>Дудкин В.В.</t>
  </si>
  <si>
    <t>978-5-16-021042-1</t>
  </si>
  <si>
    <t>44.03.01, 44.03.05, 45.03.01, 47.03.01, 47.04.01, 47.06.01, 48.03.01, 52.05.04</t>
  </si>
  <si>
    <t>Новгородский государственный университет им. Ярослава Мудрого</t>
  </si>
  <si>
    <t>166650.08.01</t>
  </si>
  <si>
    <t>Доступная юрид.помощь по гражд.делам:Моногр./А.С.Красногорова-М:НИЦ ИНФРА-М,2023-100с(Науч.мысль)(о)</t>
  </si>
  <si>
    <t>ДОСТУПНАЯ ЮРИДИЧЕСКАЯ ПОМОЩЬ ПО ГРАЖДАНСКИМ ДЕЛАМ</t>
  </si>
  <si>
    <t>Красногорова А.С.</t>
  </si>
  <si>
    <t>978-5-16-005239-7</t>
  </si>
  <si>
    <t>436450.09.01</t>
  </si>
  <si>
    <t>Досудебное производство в России: этапы разв...: Моногр. / С.А.Шейфер - М.:Юр.Норма, НИЦ ИНФРА-М, 2026 - 192 с.(п)</t>
  </si>
  <si>
    <t>ДОСУДЕБНОЕ ПРОИЗВОДСТВО В РОССИИ: ЭТАПЫ РАЗВИТИЯ СЛЕДСТВЕННОЙ, СУДЕБНОЙ И ПРОКУРОРСКОЙ ВЛАСТИ</t>
  </si>
  <si>
    <t>978-5-91768-380-5</t>
  </si>
  <si>
    <t>754143.04.01</t>
  </si>
  <si>
    <t>Досудебное производство по уголовному делу...: Моногр. / С.Б.Россинский - М.:Юр.Норма,2026. - 408 с.(П)</t>
  </si>
  <si>
    <t>ДОСУДЕБНОЕ ПРОИЗВОДСТВО ПО УГОЛОВНОМУ ДЕЛУ: СУЩНОСТЬ И СПОСОБЫ СОБИРАНИЯ ДОКАЗАТЕЛЬСТВ</t>
  </si>
  <si>
    <t>Россинский С.Б.</t>
  </si>
  <si>
    <t>978-5-00156-161-3</t>
  </si>
  <si>
    <t>446850.07.01</t>
  </si>
  <si>
    <t>Досудебное соглашение о сотрудничестве: Моногр. / О.Я.Баев - М.:Юр. НОРМА, НИЦ ИНФРА-М,2025. - 208 с.(о)</t>
  </si>
  <si>
    <t>ДОСУДЕБНОЕ СОГЛАШЕНИЕ О СОТРУДНИЧЕСТВЕ: ПРАВОВЫЕ И КРИМИНАЛИСТИЧЕСКИЕ ПРОБЛЕМЫ, ВОЗМОЖНЫЕ НАПРАВЛЕНИЯ ИХ РАЗРЕШЕНИЯ</t>
  </si>
  <si>
    <t>Баев О. Я.</t>
  </si>
  <si>
    <t>978-5-91768-412-3</t>
  </si>
  <si>
    <t>433250.06.01</t>
  </si>
  <si>
    <t>Древнегреческая метафизика: генезис...: Моногр. / С.А.Нижников-М.:НИЦ ИНФРА-М,2022.-216 с.(Науч.мысль)(О)</t>
  </si>
  <si>
    <t>ДРЕВНЕГРЕЧЕСКАЯ МЕТАФИЗИКА: ГЕНЕЗИС И КЛАССИКА</t>
  </si>
  <si>
    <t>Нижников С.А., Семушкин А.В.</t>
  </si>
  <si>
    <t>978-5-16-006679-0</t>
  </si>
  <si>
    <t>40.03.01, 44.03.01, 44.03.05, 47.03.01, 47.03.02, 47.03.03, 47.04.01, 47.04.02, 47.04.03</t>
  </si>
  <si>
    <t>648388.08.01</t>
  </si>
  <si>
    <t>Духовная жизнь российск. общ. и формир..: Моногр. / В.Н.Ксенофонтов - М:Норма,НИЦ ИНФРА-М,2025 -176 с.(О)</t>
  </si>
  <si>
    <t>ДУХОВНАЯ ЖИЗНЬ РОССИЙСКОГО ОБЩЕСТВА И ФОРМИРОВАНИЕ ЛИЧНОСТИ ЮРИСТА</t>
  </si>
  <si>
    <t>Гунибский М.Ш., Ксенофонтов В.Н.</t>
  </si>
  <si>
    <t>978-5-91768-797-1</t>
  </si>
  <si>
    <t>644181.05.01</t>
  </si>
  <si>
    <t>Духовная культура горняков Европы и России..: Моногр. / А.А.Мурзин - М.:НИЦ ИНФРА-М,2024 - 100 с.(О)</t>
  </si>
  <si>
    <t>ДУХОВНАЯ КУЛЬТУРА ГОРНЯКОВ ЕВРОПЫ И РОССИИ: ВЕРОВАНИЯ  И ПРАЗДНИЧНО-ОБРЯДОВЫЕ ПРАКТИКИ (СРАВНИТЕЛЬНЫЙ АНАЛИЗ)</t>
  </si>
  <si>
    <t>Мурзин А.А.</t>
  </si>
  <si>
    <t>978-5-16-013863-3</t>
  </si>
  <si>
    <t>38.03.01, 44.03.05, 50.04.04, 51.03.01, 51.03.02, 51.04.04, 54.03.04</t>
  </si>
  <si>
    <t>Дачный эксперт</t>
  </si>
  <si>
    <t>813785.02.01</t>
  </si>
  <si>
    <t>Духовная сила рос. имперской государств.: Моногр. / А.Ю.Саломатин-М.:ИЦ РИОР, НИЦ ИНФРА-М,2024.-173 с.(п)</t>
  </si>
  <si>
    <t>ДУХОВНАЯ СИЛА РОССИЙСКОЙ ИМПЕРСКОЙ ГОСУДАРСТВЕННОСТИ</t>
  </si>
  <si>
    <t>978-5-369-01938-2</t>
  </si>
  <si>
    <t>433150.04.01</t>
  </si>
  <si>
    <t>Духовное познание и архетипы философ.культур Востока и Запада:Моногр. / А.В.Семушкин-М.:НИЦ ИНФРА-М,2021-231с</t>
  </si>
  <si>
    <t>ДУХОВНОЕ ПОЗНАНИЕ И АРХЕТИПЫ ФИЛОСОФСКИХ КУЛЬТУР ВОСТОКА И ЗАПАДА</t>
  </si>
  <si>
    <t>Семушкин А. В., Нижников С. А.</t>
  </si>
  <si>
    <t>978-5-16-006678-3</t>
  </si>
  <si>
    <t>704204.05.01</t>
  </si>
  <si>
    <t>Душа как реальность: Моногр. / Е.Ф.Казаков - М.:НИЦ ИНФРА-М,2026. - 207 с.(Науч.мысль)(О)</t>
  </si>
  <si>
    <t>ДУША КАК РЕАЛЬНОСТЬ</t>
  </si>
  <si>
    <t>978-5-16-014987-5</t>
  </si>
  <si>
    <t>47.04.01</t>
  </si>
  <si>
    <t>747701.05.01</t>
  </si>
  <si>
    <t>Душа русской культуры: Монография / Е.Ф.Казаков - М.:НИЦ ИНФРА-М,2025 - 167 с.-(Науч.мысль)(О)</t>
  </si>
  <si>
    <t>ДУША РУССКОЙ КУЛЬТУРЫ</t>
  </si>
  <si>
    <t>978-5-16-016729-9</t>
  </si>
  <si>
    <t>45.04.01, 45.04.04, 45.06.01</t>
  </si>
  <si>
    <t>306300.09.01</t>
  </si>
  <si>
    <t>Евразийство: избранное: Моногр. / Н.С.Трубецкой - М.:НИЦ ИНФРА-М,2025 - 358 с.(Евразийский путь)(П)</t>
  </si>
  <si>
    <t>ЕВРАЗИЙСТВО: ИЗБРАННОЕ</t>
  </si>
  <si>
    <t>Трубецкой Н.С.</t>
  </si>
  <si>
    <t>Евразийский путь</t>
  </si>
  <si>
    <t>978-5-16-010258-0</t>
  </si>
  <si>
    <t>40.03.01, 41.03.04, 41.03.05, 41.03.06, 41.04.04, 41.04.05, 44.03.01, 44.03.05</t>
  </si>
  <si>
    <t>Венский университет</t>
  </si>
  <si>
    <t>699270.06.01</t>
  </si>
  <si>
    <t>Европейская конвенция в межд.сист.прав чел.: Моногр. / А.И.Ковлер - М.:Юр.Норма,НИЦ ИНФРА-М,2022-304с(П)</t>
  </si>
  <si>
    <t>ЕВРОПЕЙСКАЯ КОНВЕНЦИЯ В МЕЖДУНАРОДНОЙ СИСТЕМЕ ПРАВ ЧЕЛОВЕКА</t>
  </si>
  <si>
    <t>Ковлер А.И.</t>
  </si>
  <si>
    <t>978-5-91768-990-6</t>
  </si>
  <si>
    <t>699271.05.01</t>
  </si>
  <si>
    <t>Европейская конвенция: проблемы толк..: Моногр.: В 2 т.Т.2 / А.И.Ковлер - М.:Юр.Норма, НИЦ ИНФРА-М,2022 - 400 с.(П)</t>
  </si>
  <si>
    <t>ЕВРОПЕЙСКАЯ КОНВЕНЦИЯ: ПРОБЛЕМЫ ТОЛКОВАНИЯ И ИМПЛЕМЕНТАЦИИ</t>
  </si>
  <si>
    <t>978-5-91768-987-6</t>
  </si>
  <si>
    <t>344900.05.01</t>
  </si>
  <si>
    <t>Европейский парламент: политико-прав.исслед.:Моногр./А.Ю.Саломатин-М.:ИЦ РИОР,НИЦ ИНФРА-М,2023-91с(О)</t>
  </si>
  <si>
    <t>ЕВРОПЕЙСКИЙ ПАРЛАМЕНТ: ПОЛИТИКО-ПРАВОВОЕ ИССЛЕДОВАНИЕ</t>
  </si>
  <si>
    <t>Саломатин А.Ю., Меликов А.В.</t>
  </si>
  <si>
    <t>978-5-369-01443-1</t>
  </si>
  <si>
    <t>38.03.04, 40.03.01, 40.04.01, 41.03.04, 41.03.05, 41.03.06, 41.04.04, 41.04.05, 44.03.01, 44.03.05</t>
  </si>
  <si>
    <t>094880.12.01</t>
  </si>
  <si>
    <t>Европейский Союз: Основополагающие акты в редакц... / С.Ю.Кашкин -2изд. -М.:НИЦ ИНФРА-М,2024-650с(П)</t>
  </si>
  <si>
    <t>ЕВРОПЕЙСКИЙ СОЮЗ: ОСНОВОПОЛАГАЮЩИЕ АКТЫ В РЕДАКЦИИ ЛИССАБОНСКОГО ДОГОВОРА С КОММЕНТАРИЯМИ, ИЗД.2</t>
  </si>
  <si>
    <t>Кашкин С.Ю., Четвериков А.О., Кашкин С.Ю.</t>
  </si>
  <si>
    <t>978-5-16-012161-1</t>
  </si>
  <si>
    <t>40.03.01, 40.04.01, 40.05.01, 41.03.05, 41.04.05</t>
  </si>
  <si>
    <t>657368.03.01</t>
  </si>
  <si>
    <t>Единство преступ.: эволюц.угол.-прав. понятия: Моногр. /А.М.Ораздурдыев -М.:Юр.Норма,2022-320с(П)</t>
  </si>
  <si>
    <t>ЕДИНСТВО ПРЕСТУПЛЕНИЙ: ЭВОЛЮЦИЯ УГОЛОВНО-ПРАВОВОГО ПОНЯТИЯ</t>
  </si>
  <si>
    <t>Ораздурдыев А.М.</t>
  </si>
  <si>
    <t>978-5-91768-838-1</t>
  </si>
  <si>
    <t>185650.13.01</t>
  </si>
  <si>
    <t>Если подростку трудно учиться в школе... / Е.В.Свистунова - М.:Форум,2025 - 144 с.(О)</t>
  </si>
  <si>
    <t>ЕСЛИ ПОДРОСТКУ ТРУДНО УЧИТЬСЯ В ШКОЛЕ: ПЕДАГОГАМ И ЗАИНТЕРЕСОВАННЫМ РОДИТЕЛЯМ</t>
  </si>
  <si>
    <t>Свистунова Е. В., Демьянская М. Н., Мильке Е. А.</t>
  </si>
  <si>
    <t>978-5-91134-660-7</t>
  </si>
  <si>
    <t>44.03.01, 44.04.01, 44.06.01</t>
  </si>
  <si>
    <t>150750.10.01</t>
  </si>
  <si>
    <t>Если ситуация кажется неразрешимой... / В.К. Зарецкий. - 2 изд. - М.: Форум, 2026. - 64 с. (о)</t>
  </si>
  <si>
    <t>ЕСЛИ СИТУАЦИЯ КАЖЕТСЯ НЕРАЗРЕШИМОЙ..., ИЗД.2</t>
  </si>
  <si>
    <t>Зарецкий В. К.</t>
  </si>
  <si>
    <t>978-5-91134-502-0</t>
  </si>
  <si>
    <t>37.03.01, 37.03.02, 37.04.01, 37.04.02</t>
  </si>
  <si>
    <t>Московский государственный психолого-педагогический университет</t>
  </si>
  <si>
    <t>0211</t>
  </si>
  <si>
    <t>731838.01.01</t>
  </si>
  <si>
    <t>Жанры спортивного дискурса...: Монография / Н.Н.Кислицына-М.:НИЦ ИНФРА-М,2020.-205 с.(О)</t>
  </si>
  <si>
    <t>ЖАНРЫ СПОРТИВНОГО ДИСКУРСА: ЛИНГВОКОГНИТИВНЫЙ АСПЕКТ</t>
  </si>
  <si>
    <t>Кислицына Н.Н., Новикова Е.А.</t>
  </si>
  <si>
    <t>978-5-16-016017-7</t>
  </si>
  <si>
    <t>45.03.02, 45.04.02, 45.04.03, 45.04.04, 45.06.01</t>
  </si>
  <si>
    <t>641117.03.01</t>
  </si>
  <si>
    <t>Женщины-руководители в сис. внутривузовского упр.: Моногр. / С.Н.Макарова - М.:НИЦ ИНФРА-М,2022 - 178с.(П)</t>
  </si>
  <si>
    <t>ЖЕНЩИНЫ-РУКОВОДИТЕЛИ В СИСТЕМЕ ВНУТРИВУЗОВСКОГО УПРАВЛЕНИЯ</t>
  </si>
  <si>
    <t>Макарова С.Н.</t>
  </si>
  <si>
    <t>978-5-16-011921-2</t>
  </si>
  <si>
    <t>38.03.01, 40.03.01</t>
  </si>
  <si>
    <t>693141.03.01</t>
  </si>
  <si>
    <t>Живая машина: Моногр. / С.В.Борзых - М.:НИЦ ИНФРА-М,2025  - 157 с.(Науч.мысль)(О)</t>
  </si>
  <si>
    <t>ЖИВАЯ МАШИНА</t>
  </si>
  <si>
    <t>978-5-16-014513-6</t>
  </si>
  <si>
    <t>795602.02.01</t>
  </si>
  <si>
    <t>Жизнь современных поколений: Монография / А.В.Микляева и др. - М.:НИЦ ИНФРА-М,2025. - 218 с.(о)</t>
  </si>
  <si>
    <t>ЖИЗНЬ СОВРЕМЕННЫХ ПОКОЛЕНИЙ: СОЦИАЛЬНО-ПСИХОЛОГИЧЕСКИЕ ТЕНДЕНЦИИ</t>
  </si>
  <si>
    <t>Микляева А.В., Пищик В.И., Постникова М.И. и др.</t>
  </si>
  <si>
    <t>978-5-16-018118-9</t>
  </si>
  <si>
    <t>39.04.01, 39.04.03, 39.06.01, 47.04.01</t>
  </si>
  <si>
    <t>Российский государственный педагогический университет им. А.И. Герцена</t>
  </si>
  <si>
    <t>436300.08.01</t>
  </si>
  <si>
    <t>Жирные кислоты, триглицериды...: Моногр. / В.Н. Титов - М.: НИЦ ИНФРА-М, 2023 -197 с. (Науч.мысль)(о)</t>
  </si>
  <si>
    <t>ЖИРНЫЕ КИСЛОТЫ, ТРИГЛИЦЕРИДЫ, ГИПЕРТРИГЛИЦЕРИДЕМИЯ, ГИПЕРГЛЕКЕМИЯ И ИНСУЛИН</t>
  </si>
  <si>
    <t>Титов В.Н., Рожкова Т.А., Амелюшкина В.А.</t>
  </si>
  <si>
    <t>978-5-16-011325-8</t>
  </si>
  <si>
    <t>Российский кардиологический научно-производственный комплекс</t>
  </si>
  <si>
    <t>638287.0062.01</t>
  </si>
  <si>
    <t>Журнал зарубежного законодательства и сравнительного правоведения, 2024, № 4</t>
  </si>
  <si>
    <t>ЖУРНАЛ ЗАРУБЕЖНОГО ЗАКОНОДАТЕЛЬСТВА И СРАВНИТЕЛЬНОГО ПРАВОВЕДЕНИЯ, 2024, № 4</t>
  </si>
  <si>
    <t>638287.0069.01</t>
  </si>
  <si>
    <t>Журнал зарубежного законодательства и сравнительного правоведения, 2025, № 5</t>
  </si>
  <si>
    <t>ЖУРНАЛ ЗАРУБЕЖНОГО ЗАКОНОДАТЕЛЬСТВА И СРАВНИТЕЛЬНОГО ПРАВОВЕДЕНИЯ, 2025, № 5</t>
  </si>
  <si>
    <t>640614.0359.01</t>
  </si>
  <si>
    <t>Журнал Российского права, 2024, № 8</t>
  </si>
  <si>
    <t>ЖУРНАЛ РОССИЙСКОГО ПРАВА, 2024, № 8</t>
  </si>
  <si>
    <t>640614.0373.01</t>
  </si>
  <si>
    <t>Журнал Российского права, 2025, № 10</t>
  </si>
  <si>
    <t>ЖУРНАЛ РОССИЙСКОГО ПРАВА, 2025, № 10</t>
  </si>
  <si>
    <t>Ноябрь, 2025</t>
  </si>
  <si>
    <t>0197</t>
  </si>
  <si>
    <t>852163.01.01</t>
  </si>
  <si>
    <t>Журналистское образ. в условиях трансформир. медиасреды: Моногр. / С.А.Базикян - М.:НИЦ ИНФРА-М,2025. - 161 с(о)</t>
  </si>
  <si>
    <t>ЖУРНАЛИСТСКОЕ ОБРАЗОВАНИЕ В УСЛОВИЯХ ТРАНСФОРМИРУЮЩЕЙСЯ МЕДИАСРЕДЫ: ПОТЕНЦИАЛ ПРОЕКТНОГО ОБУЧЕНИЯ</t>
  </si>
  <si>
    <t>Базикян С.А.</t>
  </si>
  <si>
    <t>978-5-16-020912-8</t>
  </si>
  <si>
    <t>42.04.01, 42.04.02, 42.04.04, 42.04.05, 42.06.01</t>
  </si>
  <si>
    <t>420250.06.01</t>
  </si>
  <si>
    <t>Заболевания внутренних органов при манифестных..: Моногр. / Б.Н.Кривошеев - 2 изд. - ИНФРА-М, 2025 - 296 с.(о)</t>
  </si>
  <si>
    <t>ЗАБОЛЕВАНИЯ ВНУТРЕННИХ ОРГАНОВ ПРИ МАНИФЕСТНЫХ И ЛАТЕНТНЫХ НАРУШЕНИЯХ ПОРФИРИНОВОГО ОБМЕНА, ИЗД.2</t>
  </si>
  <si>
    <t>Кривошеев Б. Н., Куимов А. Д., Кривошеев А. Б.</t>
  </si>
  <si>
    <t>978-5-16-006542-7</t>
  </si>
  <si>
    <t>Новосибирский государственный медицинский университет</t>
  </si>
  <si>
    <t>489300.06.01</t>
  </si>
  <si>
    <t>Заведующие кафедрами университетов России: Моногр. / О.А.Сазыкина - М.:НИЦ ИНФРА-М,2022-193с.(П)</t>
  </si>
  <si>
    <t>ЗАВЕДУЮЩИЕ КАФЕДРАМИ УНИВЕРСИТЕТОВ РОССИИ: СТУПЕНИ РОСТА</t>
  </si>
  <si>
    <t>Резник С.Д., Сазыкина О.А., Резник С.Д.</t>
  </si>
  <si>
    <t>978-5-16-011755-3</t>
  </si>
  <si>
    <t>38.03.01, 38.03.03, 38.04.02</t>
  </si>
  <si>
    <t>787444.01.01</t>
  </si>
  <si>
    <t>Завоевание Земли: Моногр. / С.В.Борзых-М.:НИЦ ИНФРА-М,2023.-347 с.(Науч.мысль)(П)</t>
  </si>
  <si>
    <t>ЗАВОЕВАНИЕ ЗЕМЛИ</t>
  </si>
  <si>
    <t>978-5-16-017933-9</t>
  </si>
  <si>
    <t>47.04.01, 47.06.01</t>
  </si>
  <si>
    <t>659191.07.01</t>
  </si>
  <si>
    <t>Загадки страны «Ок». Романские церкви Окситании X-XIII в.: Моногр. / И.И.Орлов - М:НИЦ ИНФРА-М,2026 - 216 с.(о)</t>
  </si>
  <si>
    <t>ЗАГАДКИ СТРАНЫ «ОК». РОМАНСКИЕ ЦЕРКВИ ОКСИТАНИИ X - XIII ВЕКОВ</t>
  </si>
  <si>
    <t>Орлов И.И.</t>
  </si>
  <si>
    <t>978-5-16-018155-4</t>
  </si>
  <si>
    <t>07.03.01, 50.03.03, 51.03.01</t>
  </si>
  <si>
    <t>Липецкий Государственный Технический Университет</t>
  </si>
  <si>
    <t>053330.12.01</t>
  </si>
  <si>
    <t>Задачи уголовной политики...: Моногр. / Ф.Лист - М.: НИЦ ИНФРА-М, 2023.-110 с.(Б-ка криминолога)(О)</t>
  </si>
  <si>
    <t>ЗАДАЧИ УГОЛОВНОЙ ПОЛИТИКИ. ПРЕСТУПЛЕНИЕ КАК СОЦИАЛЬНО-ПАТОЛОГИЧЕСКОЕ ЯВЛЕНИЕ</t>
  </si>
  <si>
    <t>Лист Ф., Овчинский В. С.</t>
  </si>
  <si>
    <t>Библиотека криминолога</t>
  </si>
  <si>
    <t>978-5-16-016795-4</t>
  </si>
  <si>
    <t>Министерство внутренних дел Российской Федерации</t>
  </si>
  <si>
    <t>780417.01.01</t>
  </si>
  <si>
    <t>Заимствованные слова в рус. яз.: Сл. / В.Г.Маслов - М.:НИЦ ИНФРА-М,2025 - 198 с.(Б-ка сл. ИНФРА-М)(п)</t>
  </si>
  <si>
    <t>ЗАИМСТВОВАННЫЕ СЛОВА В РУССКОМ ЯЗЫКЕ</t>
  </si>
  <si>
    <t>Маслов В.Г., Маслов Д.Я.</t>
  </si>
  <si>
    <t>978-5-16-017863-9</t>
  </si>
  <si>
    <t>00.02.09, 00.02.34, 00.03.09, 00.05.09, 44.03.01, 44.03.05, 44.04.01, 45.03.01, 45.03.99, 45.04.01, 45.04.03, 45.05.01</t>
  </si>
  <si>
    <t>682295.03.01</t>
  </si>
  <si>
    <t>Заключение  энергосервисных контрактов  в сфере закупок...:Моногр. / Е.Ю.Матвеева-М.:НИЦ ИНФРА-М,2023-158с(О)</t>
  </si>
  <si>
    <t>ЗАКЛЮЧЕНИЕ  ЭНЕРГОСЕРВИСНЫХ КОНТРАКТОВ  В СФЕРЕ ЗАКУПОК ДЛЯ ОБЕСПЕЧЕНИЯ ГОСУДАРСТВЕННЫХ И МУНИЦИПАЛЬНЫХ НУЖД</t>
  </si>
  <si>
    <t>Матвеева Е.Ю.</t>
  </si>
  <si>
    <t>978-5-16-014266-1</t>
  </si>
  <si>
    <t>640171.06.01</t>
  </si>
  <si>
    <t>Закон - ресурс промышленности: Моногр. / Отв. ред. Ю.А.Тихомиров - М.:НИЦ ИНФРА-М,2024 - 96 с.(ИЗиСП)(О)</t>
  </si>
  <si>
    <t>ЗАКОН - РЕСУРС ПРОМЫШЛЕННОСТИ</t>
  </si>
  <si>
    <t>Тихомиров Ю.А.</t>
  </si>
  <si>
    <t>978-5-16-012271-7</t>
  </si>
  <si>
    <t>38.03.01, 38.04.01, 40.03.01, 44.03.05</t>
  </si>
  <si>
    <t>642079.07.01</t>
  </si>
  <si>
    <t>Закон, поступок, ответственность: Моногр. / В.Н.Кудрявцев - М.:Юр.Норма, НИЦ ИНФРА-М,2024 - 452 с.(П)</t>
  </si>
  <si>
    <t>ЗАКОН, ПОСТУПОК, ОТВЕТСТВЕННОСТЬ</t>
  </si>
  <si>
    <t>978-5-91768-771-1</t>
  </si>
  <si>
    <t>098400.10.01</t>
  </si>
  <si>
    <t>Законодательная власть: Моногр. / В.Е.Чиркин - М.:Юр.Норма, НИЦ ИНФРА-М,2025 - 336 с.(П)</t>
  </si>
  <si>
    <t>ЗАКОНОДАТЕЛЬНАЯ ВЛАСТЬ</t>
  </si>
  <si>
    <t>978-5-91768-693-6</t>
  </si>
  <si>
    <t>717901.05.01</t>
  </si>
  <si>
    <t>Законодательное регулир. землеустройства и кадастровых...: Моногр. / С.А.Липски - М.:НИЦ ИНФРА-М,2025 - 216 с.(О)</t>
  </si>
  <si>
    <t>ЗАКОНОДАТЕЛЬНОЕ РЕГУЛИРОВАНИЕ ЗЕМЛЕУСТРОЙСТВА И КАДАСТРОВЫХ ОТНОШЕНИЙ В ПОСТСОВЕТСКОЙ РОССИИ</t>
  </si>
  <si>
    <t>Липски С.А.</t>
  </si>
  <si>
    <t>978-5-16-015647-7</t>
  </si>
  <si>
    <t>21.03.02, 21.04.02, 40.03.01, 40.04.01</t>
  </si>
  <si>
    <t>814146.03.01</t>
  </si>
  <si>
    <t>Законодательство в обустройстве рос. жизни... / В.В.Лазарев - М.:Юр. НОРМА, НИЦ ИНФРА-М,2026. - 280 с.(п)</t>
  </si>
  <si>
    <t>ЗАКОНОДАТЕЛЬСТВО В ОБУСТРОЙСТВЕ РОССИЙСКОЙ ЖИЗНИ: ИСТОРИЯ И СОВРЕМЕННОСТЬ. К 250-ЛЕТИЮ СО ДНЯ РОЖДЕНИЯ М.М.СПЕРАНСКОГО</t>
  </si>
  <si>
    <t>Лазарев В.В., Хабриева Т.Я., Крашенинников П.В. и др.</t>
  </si>
  <si>
    <t>978-5-00156-334-1</t>
  </si>
  <si>
    <t>777421.01.01</t>
  </si>
  <si>
    <t>Закономерности роста, метаболизма куриных эмбрионов..: Моногр. / М.И.Челнокова.-М.:НИЦ ИНФРА-М,2022.-184 с.(О)</t>
  </si>
  <si>
    <t>ЗАКОНОМЕРНОСТИ РОСТА, МЕТАБОЛИЗМА КУРИНЫХ ЭМБРИОНОВ ЯИЧНЫХ КРОССОВ И РАЗВИТИЕ ИХ ВИСЦЕРАЛЬНЫХ ОРГАНОВ ПРИ ВОЗДЕЙСТВИИ ПЕРЕМЕННЫХ ТЕМПЕРАТУР ИНКУБАЦИИ</t>
  </si>
  <si>
    <t>Челнокова М.И., Сулейманов Ф.И., Челноков А.А. и др.</t>
  </si>
  <si>
    <t>978-5-16-017732-8</t>
  </si>
  <si>
    <t>Великолукская государственная сельскохозяйственная академия</t>
  </si>
  <si>
    <t>714390.03.01</t>
  </si>
  <si>
    <t>Закономерности формир. спинального тормож...: Моногр. / А.А.Челноков-М.:НИЦ ИНФРА-М,2023.-192с(О)</t>
  </si>
  <si>
    <t>ЗАКОНОМЕРНОСТИ ФОРМИРОВАНИЯ СПИНАЛЬНОГО ТОРМОЖЕНИЯ У ЧЕЛОВЕКА</t>
  </si>
  <si>
    <t>Челноков А.А., Городничев Р.М.</t>
  </si>
  <si>
    <t>978-5-16-015521-0</t>
  </si>
  <si>
    <t>Великолукская государственная академия физической культуры и спорта</t>
  </si>
  <si>
    <t>642421.05.01</t>
  </si>
  <si>
    <t>Законы из-за границы: политико-прав. аспекты клас.: Моногр. / Б.В.Назмутдинов-М.:Юр.Норма, НИЦ ИНФРА-М,2023-272с.(П)</t>
  </si>
  <si>
    <t>ЗАКОНЫ ИЗ-ЗА ГРАНИЦЫ: ПОЛИТИКО-ПРАВОВЫЕ АСПЕКТЫ КЛАССИЧЕСКОГО ЕВРАЗИЙСТВА</t>
  </si>
  <si>
    <t>Назмутдинов Б.В.</t>
  </si>
  <si>
    <t>978-5-91768-776-6</t>
  </si>
  <si>
    <t>654524.06.01</t>
  </si>
  <si>
    <t>Замкнутые сис.охлаж.судовых энергетич.уст.: Моногр. / К.Ю.Федоровский - М.:Вуз.уч., НИЦ ИНФРА-М,2025 - 160 с.(о)</t>
  </si>
  <si>
    <t>ЗАМКНУТЫЕ СИСТЕМЫ ОХЛАЖДЕНИЯ СУДОВЫХ ЭНЕРГЕТИЧЕСКИХ УСТАНОВОК</t>
  </si>
  <si>
    <t>Федоровский К.Ю., Федоровская Н.К.</t>
  </si>
  <si>
    <t>978-5-9558-0558-0</t>
  </si>
  <si>
    <t>17.03.01, 26.02.04, 26.03.02</t>
  </si>
  <si>
    <t>804886.02.01</t>
  </si>
  <si>
    <t>Занятие высшего положения в преступ. иерархии (статья 210.1 УК РФ)/ А.М.Багмет.-М.:НИЦ ИНФРА-М,2024.-205 с(о)</t>
  </si>
  <si>
    <t>ЗАНЯТИЕ ВЫСШЕГО ПОЛОЖЕНИЯ В ПРЕСТУПНОЙ ИЕРАРХИИ (СТАТЬЯ 210.1 УК РФ): КВАЛИФИКАЦИЯ И РАССЛЕДОВАНИЕ</t>
  </si>
  <si>
    <t>Багмет А.М., Бычков В.В., Харченко С.В. и др.</t>
  </si>
  <si>
    <t>978-5-16-018594-1</t>
  </si>
  <si>
    <t>40.05.02</t>
  </si>
  <si>
    <t>Следственный Комитет Российской Федерации</t>
  </si>
  <si>
    <t>676188.03.01</t>
  </si>
  <si>
    <t>Запреты в праве и правовой политике: Моногр. / А.А.Малько-М.:ИЦ РИОР, НИЦ ИНФРА-М,2024.-377 с.(п)</t>
  </si>
  <si>
    <t>ЗАПРЕТЫ В ПРАВЕ И ПРАВОВОЙ ПОЛИТИКЕ: ОБЩЕТЕОРЕТИЧЕСКИЙ И ОТРАСЛЕВОЙ АСПЕКТЫ</t>
  </si>
  <si>
    <t>Малько А.В.</t>
  </si>
  <si>
    <t>Advances in Law Studies</t>
  </si>
  <si>
    <t>978-5-369-01751-7</t>
  </si>
  <si>
    <t>750134.02.01</t>
  </si>
  <si>
    <t>Зарождение и развитие межд. част. права (XII-XX вв.): Моногр. / А.И.Кривенький-М.:НИЦ ИНФРА-М,2022.-178с.(Науч.мысль)(О)</t>
  </si>
  <si>
    <t>ЗАРОЖДЕНИЕ И РАЗВИТИЕ МЕЖДУНАРОДНОГО ЧАСТНОГО ПРАВА (XII-XX ВВ.)</t>
  </si>
  <si>
    <t>Кривенький А.И.</t>
  </si>
  <si>
    <t>978-5-16-017001-5</t>
  </si>
  <si>
    <t>40.03.01, 40.04.01, 40.05.01, 40.05.02, 40.05.04, 40.06.01</t>
  </si>
  <si>
    <t>715619.03.01</t>
  </si>
  <si>
    <t>Зарубежный опыт прав. регулир. адм. и судеб. процедур...: Моногр. / А.А.Соловьёв - М.: ИНФРА-М, 2025 - 216 с.(О)</t>
  </si>
  <si>
    <t>ЗАРУБЕЖНЫЙ ОПЫТ ПРАВОВОГО РЕГУЛИРОВАНИЯ АДМИНИСТРАТИВНЫХ И СУДЕБНЫХ ПРОЦЕДУР, СВЯЗАННЫХ С ПРИНУДИТЕЛЬНЫМ МЕДИЦИНСКИМ ВМЕШАТЕЛЬСТВОМ</t>
  </si>
  <si>
    <t>Соловьёв А.А.</t>
  </si>
  <si>
    <t>978-5-16-015523-4</t>
  </si>
  <si>
    <t>670763.02.01</t>
  </si>
  <si>
    <t>Защита гос. суверенитета РФ в информ. простр.: Моногр. / А.А.Ефремов-М.:Юр.Норма,НИЦ ИНФРА-М,2020-128с(О)</t>
  </si>
  <si>
    <t>ЗАЩИТА ГОСУДАРСТВЕННОГО СУВЕРЕНИТЕТА РФ В ИНФОРМАЦИОННОМ ПРОСТРАНСТВЕ</t>
  </si>
  <si>
    <t>Ефремов А.А.</t>
  </si>
  <si>
    <t>978-5-91768-872-5</t>
  </si>
  <si>
    <t>653028.07.01</t>
  </si>
  <si>
    <t>Защита государственного суверенитета: Моногр. / В.В.Красинский - М.:Юр.Норма, НИЦ ИНФРА-М,2025-608с(П)</t>
  </si>
  <si>
    <t>ЗАЩИТА ГОСУДАРСТВЕННОГО СУВЕРЕНИТЕТА</t>
  </si>
  <si>
    <t>Красинский В.В.</t>
  </si>
  <si>
    <t>978-5-91768-821-3</t>
  </si>
  <si>
    <t>40.03.01, 44.03.05, 56.04.01</t>
  </si>
  <si>
    <t>Нижегородский государственный технический университет им. Р.А. Алексеева, ф-л Дзержинский политехнический институт</t>
  </si>
  <si>
    <t>824817.01.01</t>
  </si>
  <si>
    <t>Защита полит. сис. России угол.-прав. и криминологич. методами / А.А.Дегтерев-М.:НИЦ ИНФРА-М,2024.-375 с.(п)</t>
  </si>
  <si>
    <t>ЗАЩИТА ПОЛИТИЧЕСКОЙ СИСТЕМЫ РОССИИ УГОЛОВНО-ПРАВОВЫМИ И КРИМИНОЛОГИЧЕСКИМИ МЕТОДАМИ</t>
  </si>
  <si>
    <t>Дегтерев А.А.</t>
  </si>
  <si>
    <t>978-5-16-019852-1</t>
  </si>
  <si>
    <t>40.04.01, 40.05.01, 40.05.02, 40.05.04, 40.06.01, 41.04.04</t>
  </si>
  <si>
    <t>384600.05.01</t>
  </si>
  <si>
    <t>Защита прав и интересов орг. и граждан: Моног. / Л.А.Воскобитова - Юр.Норма, НИЦ ИНФРА-М,2025 - 144 с.(о)</t>
  </si>
  <si>
    <t>ЗАЩИТА ПРАВ И ИНТЕРЕСОВ ОРГАНИЗАЦИЙ И ГРАЖДАН: УГОЛОВНО-ПРАВОВОЙ, УГОЛОВНО-ПРОЦЕССУАЛЬНЫЙ И КРИМИНОЛОГИЧЕСКИЙ АСПЕКТ (СОСТОЯНИЕ, ПРОБЛЕМЫ, ПУТИ СОВЕРШЕНСТВОВАНИЯ). ОБЩЕЕ СОСТОЯНИЕ И РЕГИОНАЛЬНАЯ СПЕЦИФИКА</t>
  </si>
  <si>
    <t>Л.А.Воскобитова</t>
  </si>
  <si>
    <t>978-5-91768-646-2</t>
  </si>
  <si>
    <t>645380.03.01</t>
  </si>
  <si>
    <t>Защита прав потребителей: Пособие / И.А.Шувалова-М.:НИЦ ИНФРА-М,2021.-166 с..-(Юр. консультация)(О)</t>
  </si>
  <si>
    <t>ЗАЩИТА ПРАВ ПОТРЕБИТЕЛЕЙ</t>
  </si>
  <si>
    <t>Шувалова И.А.</t>
  </si>
  <si>
    <t>Юридическая консультация</t>
  </si>
  <si>
    <t>978-5-16-014994-3</t>
  </si>
  <si>
    <t>Академия труда и социальных отношений</t>
  </si>
  <si>
    <t>430750.08.01</t>
  </si>
  <si>
    <t>Защита социал.прав граждан:теор.и практ.: Моногр./О.А.Снежко-М.:НИЦ ИНФРА-М,2020-274с(Науч.мысль)(о)</t>
  </si>
  <si>
    <t>ЗАЩИТА СОЦИАЛЬНЫХ ПРАВ ГРАЖДАН: ТЕОРИЯ И ПРАКТИКА</t>
  </si>
  <si>
    <t>Снежко О.А.</t>
  </si>
  <si>
    <t>978-5-16-006655-4</t>
  </si>
  <si>
    <t>785530.02.01</t>
  </si>
  <si>
    <t>Зеленая экономика в парадигме устойчивого развития / И.Н.Альхимович. - М.:НИЦ ИНФРА-М,2024. - 248 с.(о)</t>
  </si>
  <si>
    <t>ЗЕЛЕНАЯ ЭКОНОМИКА В ПАРАДИГМЕ УСТОЙЧИВОГО РАЗВИТИЯ</t>
  </si>
  <si>
    <t>Альхимович И.Н., Амирова Н.Р., Бурденко Е.В. и др.</t>
  </si>
  <si>
    <t>978-5-16-017936-0</t>
  </si>
  <si>
    <t>05.04.06, 05.06.01, 38.04.01, 38.04.02, 38.06.01, 41.03.02, 41.06.01</t>
  </si>
  <si>
    <t>320300.07.01</t>
  </si>
  <si>
    <t>Земельное и имущественное право в странах общ.права: Моногр./О.И.Крассов-М.:Норма:ИНФРА-М,2024-416с.(п)</t>
  </si>
  <si>
    <t>ЗЕМЕЛЬНОЕ И ИМУЩЕСТВЕННОЕ ПРАВО В СТРАНАХ ОБЩЕГО ПРАВА</t>
  </si>
  <si>
    <t>Крассов О.И.</t>
  </si>
  <si>
    <t>978-5-91768-556-4</t>
  </si>
  <si>
    <t>682765.07.01</t>
  </si>
  <si>
    <t>Земельное право в странах Азии: Моногр. / О.И.Крассов - М.:Юр.Норма,НИЦ ИНФРА-М,2026 - 416 с.(П)</t>
  </si>
  <si>
    <t>ЗЕМЕЛЬНОЕ ПРАВО В СТРАНАХ АЗИИ</t>
  </si>
  <si>
    <t>978-5-00156-448-5</t>
  </si>
  <si>
    <t>633320.10.01</t>
  </si>
  <si>
    <t>Земельное право в странах Африки: Моногр. / О.И.Крассов - М.:Юр.Норма, НИЦ ИНФРА-М,2026 - 416 с.(П)</t>
  </si>
  <si>
    <t>ЗЕМЕЛЬНОЕ ПРАВО В СТРАНАХ АФРИКИ</t>
  </si>
  <si>
    <t>978-5-91768-743-8</t>
  </si>
  <si>
    <t>40.00.00, 40.06.01</t>
  </si>
  <si>
    <t>654633.09.01</t>
  </si>
  <si>
    <t>Земельное право в странах Ближнего Востока: Моногр. / О.И.Крассов - М.:Норма, НИЦ ИНФРА-М,2025 - 384 с.(П)</t>
  </si>
  <si>
    <t>ЗЕМЕЛЬНОЕ ПРАВО В СТРАНАХ БЛИЖНЕГО ВОСТОКА</t>
  </si>
  <si>
    <t>978-5-91768-825-1</t>
  </si>
  <si>
    <t>358800.07.01</t>
  </si>
  <si>
    <t>Земельное правоотношение как соц.-прав. явление: Моногр. / Е.А.Галиновская - М.:НИЦ ИНФРА-М,2025. - 272 с.(П)</t>
  </si>
  <si>
    <t>ЗЕМЕЛЬНОЕ ПРАВООТНОШЕНИЕ КАК СОЦИАЛЬНО-ПРАВОВОЕ ЯВЛЕНИЕ</t>
  </si>
  <si>
    <t>Галиновская Е.А.</t>
  </si>
  <si>
    <t>978-5-16-010948-0</t>
  </si>
  <si>
    <t>06.03.02, 40.03.01</t>
  </si>
  <si>
    <t>849436.04.01</t>
  </si>
  <si>
    <t>Землеустроительное обеспеч.сохр. в обороте земель.../ С.А.Липски - М.:НИЦ ИНФРА-М,2026. - 222с.:цв.ил.(п)</t>
  </si>
  <si>
    <t>ЗЕМЛЕУСТРОИТЕЛЬНОЕ ОБЕСПЕЧЕНИЕ СОХРАНЕНИЯ В ОБОРОТЕ ЗЕМЕЛЬ СЕЛЬСКОХОЗЯЙСТВЕННОГО НАЗНАЧЕНИЯ И РЕОСВОЕНИЯ ЗАБРОШЕННЫХ УГОДИЙ</t>
  </si>
  <si>
    <t>Папаскири Т.В., Липски С.А., Ананичева Е.П. и др.</t>
  </si>
  <si>
    <t>978-5-16-020644-8</t>
  </si>
  <si>
    <t>21.03.02</t>
  </si>
  <si>
    <t>319000.08.01</t>
  </si>
  <si>
    <t>Зернобобовые культуры: систем. подход к анализу..: Моногр. / Г.Г.Гатаулина - М.:НИЦ ИНФРА-М,2025 - 242 с.(о)</t>
  </si>
  <si>
    <t>ЗЕРНОБОБОВЫЕ КУЛЬТУРЫ: СИСТЕМНЫЙ ПОДХОД К АНАЛИЗУ РОСТА, РАЗВИТИЯ И ФОРМИРОВАНИЯ УРОЖАЯ</t>
  </si>
  <si>
    <t>Гатаулина Г.Г., Никитина С.С.</t>
  </si>
  <si>
    <t>978-5-16-019849-1</t>
  </si>
  <si>
    <t>35.03.04</t>
  </si>
  <si>
    <t>757770.02.01</t>
  </si>
  <si>
    <t>Зло: опыт философского исслед.: Моногр. / П.А.Горохов - М.:НИЦ ИНФРА-М,2024 - 240 с.(Науч.мысль)(О)</t>
  </si>
  <si>
    <t>ЗЛО: ОПЫТ ФИЛОСОФСКОГО ИССЛЕДОВАНИЯ</t>
  </si>
  <si>
    <t>978-5-16-017198-2</t>
  </si>
  <si>
    <t>803178.01.01</t>
  </si>
  <si>
    <t>Злостный наруш. режима отбыван.наказан.в виде.../ А.Н.Гордополов-М.:НИЦ ИНФРА-М,2023.-225 с.(п)</t>
  </si>
  <si>
    <t>ЗЛОСТНЫЙ НАРУШИТЕЛЬ РЕЖИМА ОТБЫВАНИЯ НАКАЗАНИЯ В ВИДЕ ЛИШЕНИЯ СВОБОДЫ И ЕГО ОТВЕТСТВЕННОСТЬ В УГОЛОВНО-ИСПОЛНИТЕЛЬНОМ ЗАКОНОДАТЕЛЬСТВЕ</t>
  </si>
  <si>
    <t>Гордополов А.Н., Головастова Ю.А.</t>
  </si>
  <si>
    <t>978-5-16-018536-1</t>
  </si>
  <si>
    <t>848617.01.01</t>
  </si>
  <si>
    <t>Злоупотребление правом со стороны потребителя: Моногр. / Е.Ю.Усольцев - М.:НИЦ ИНФРА-М,2025. - 141 с.(о)</t>
  </si>
  <si>
    <t>ЗЛОУПОТРЕБЛЕНИЕ ПРАВОМ СО СТОРОНЫ ПОТРЕБИТЕЛЯ</t>
  </si>
  <si>
    <t>Усольцев Е.Ю.</t>
  </si>
  <si>
    <t>978-5-16-020703-2</t>
  </si>
  <si>
    <t>00.03.40, 40.04.01, 40.05.02, 40.05.04, 40.06.01</t>
  </si>
  <si>
    <t>Управление Судебного Департамента в Новосибирской области (УСД)</t>
  </si>
  <si>
    <t>143500.08.01</t>
  </si>
  <si>
    <t>Знакомьтесь: М.Е. Салтыков-Щедрин / Авт.-сост. П.П.Барашев - М.:ИНФРА-М Изд.Дом,2026 - 378 с.(П)</t>
  </si>
  <si>
    <t>ЗНАКОМЬТЕСЬ: М.Е. САЛТЫКОВ-ЩЕДРИН</t>
  </si>
  <si>
    <t>Барашев П. П., Демина Е. П., Прончев Г. Б.</t>
  </si>
  <si>
    <t>ИНФРА-М Издательский Дом</t>
  </si>
  <si>
    <t>978-5-16-004202-2</t>
  </si>
  <si>
    <t>44.03.01, 45.03.01, 45.04.01, 46.03.01</t>
  </si>
  <si>
    <t>777630.01.01</t>
  </si>
  <si>
    <t>Золотой век американской журналистики: Моногр. / Т.В.Алентьева-М.:НИЦ ИНФРА-М,2023.-358 с.(Науч.мысль)(О)</t>
  </si>
  <si>
    <t>ЗОЛОТОЙ ВЕК АМЕРИКАНСКОЙ ЖУРНАЛИСТИКИ</t>
  </si>
  <si>
    <t>Алентьева Т.В.</t>
  </si>
  <si>
    <t>978-5-16-017701-4</t>
  </si>
  <si>
    <t>39.04.01, 39.06.01, 41.04.02, 41.06.01, 41.07.01, 42.04.02, 42.06.01, 45.04.01, 45.06.01, 46.04.01, 46.06.01, 56.05.05</t>
  </si>
  <si>
    <t>Курский государственный университет</t>
  </si>
  <si>
    <t>704232.02.01</t>
  </si>
  <si>
    <t>Зона свободной торговли ЕАЭС-Вьетнам...: Моногр. / Под ред. Перской В.В. - М.:НИЦ ИНФРА-М,2020-209 с.(П)</t>
  </si>
  <si>
    <t>ЗОНА СВОБОДНОЙ ТОРГОВЛИ ЕАЭС-ВЬЕТНАМ: ПЕРВИЧНЫЙ АНАЛИЗ ЭФФЕКТОВ ТОРГОВОЙ ИНТЕГРАЦИИ</t>
  </si>
  <si>
    <t>Джагитян Э.П., Перская В.В., Ревенко Н.С. и др.</t>
  </si>
  <si>
    <t>978-5-16-016133-4</t>
  </si>
  <si>
    <t>38.03.01, 38.03.02, 38.03.06, 38.04.01, 38.04.02, 38.04.06, 38.05.01</t>
  </si>
  <si>
    <t>801904.01.01</t>
  </si>
  <si>
    <t>Иван Куратов: жизнь и творчество...: Моногр. / П.Ф.Лимеров - М.:НИЦ ИНФРА-М,2025. - 302 с.(Науч.мысль)(п)</t>
  </si>
  <si>
    <t>ИВАН КУРАТОВ: ЖИЗНЬ И ТВОРЧЕСТВО ОСНОВОПОЛОЖНИКА ЛИТЕРАТУРЫ  КОМИ</t>
  </si>
  <si>
    <t>Лимеров П.Ф.</t>
  </si>
  <si>
    <t>978-5-16-020112-2</t>
  </si>
  <si>
    <t>45.03.01</t>
  </si>
  <si>
    <t>Коми научный центр Уральского отделения Российской академии наук</t>
  </si>
  <si>
    <t>АКАДЕМУС-2024, Победитель, III место
АИСТ'ИЯ-2025, Победитель</t>
  </si>
  <si>
    <t>091000.02.01</t>
  </si>
  <si>
    <t>Иван Федоров и его эпоха: Энциклопедия / Е.Л. Немировский. - М.: Энциклопедия. 2010. - 912 с. (п) ISBN:978-5-94802-018-1</t>
  </si>
  <si>
    <t>ИВАН ФЕДОРОВ И ЕГО ЭПОХА</t>
  </si>
  <si>
    <t>Немировский Е. Л.</t>
  </si>
  <si>
    <t>Энциклопедия</t>
  </si>
  <si>
    <t>978-5-94802-018-1</t>
  </si>
  <si>
    <t>Универсальная справочная литература</t>
  </si>
  <si>
    <t>Российская Книжная Палата</t>
  </si>
  <si>
    <t>108950.13.01</t>
  </si>
  <si>
    <t>Игра: дидактическая, ролевая, деловая реш. учеб. и проф. пробл. / Л.И.Федорова - М.:НИЦ ИНФРА-М,2026 -174 с.(о)</t>
  </si>
  <si>
    <t>ИГРА: ДИДАКТИЧЕСКАЯ, РОЛЕВАЯ, ДЕЛОВАЯ</t>
  </si>
  <si>
    <t>Федорова Л.И.</t>
  </si>
  <si>
    <t>978-5-16-021194-7</t>
  </si>
  <si>
    <t>808535.01.01</t>
  </si>
  <si>
    <t>Игра-не-игра обучающая (опыт, анализ...): Моногр. / В.Н.Кругликов-М.:НИЦ ИНФРА-М,2024.-203 с.(Науч.мысль)(п)</t>
  </si>
  <si>
    <t>ИГРА-НЕ-ИГРА ОБУЧАЮЩАЯ (ОПЫТ, АНАЛИЗ, РАЗМЫШЛЕНИЯ ПЕДАГОГА-ИГРОТЕХНИКА)</t>
  </si>
  <si>
    <t>Кругликов В.Н.</t>
  </si>
  <si>
    <t>978-5-16-018936-9</t>
  </si>
  <si>
    <t>44.03.01</t>
  </si>
  <si>
    <t>Санкт-Петербургский государственный политехнический университет Петра Великого</t>
  </si>
  <si>
    <t>655237.05.01</t>
  </si>
  <si>
    <t>Идеалы политически орган.общ.и права: Моногр. / С.А.Дробышевский - М.:Юр.Норма,НИЦ ИНФРА-М,2026 - 192 с.(П)</t>
  </si>
  <si>
    <t>ИДЕАЛЫ ПОЛИТИЧЕСКИ ОРГАНИЗОВАННОГО ОБЩЕСТВА И ПРАВА</t>
  </si>
  <si>
    <t>978-5-91768-832-9</t>
  </si>
  <si>
    <t>40.03.01, 40.04.01, 41.03.04, 41.04.04</t>
  </si>
  <si>
    <t>642097.07.01</t>
  </si>
  <si>
    <t>Идеология старообряд. предпр. XVIII — нач. XX вв.: Моногр. / Е.Н.Титова - М.:НИЦ ИНФРА-М,2024-238(О)</t>
  </si>
  <si>
    <t>ИДЕОЛОГИЯ СТАРООБРЯДЧЕСКОГО ПРЕДПРИНИМАТЕЛЬСТВА XVIII — НАЧАЛА XX ВВ.</t>
  </si>
  <si>
    <t>Титова Е.Н.</t>
  </si>
  <si>
    <t>978-5-16-017477-8</t>
  </si>
  <si>
    <t>238700.07.01</t>
  </si>
  <si>
    <t>Идея мышления: Моногр./ С.В. Борзых - М.: НИЦ ИНФРА-М, 2022 - 118 с. (Научная мысль)(О)</t>
  </si>
  <si>
    <t>ИДЕЯ МЫШЛЕНИЯ</t>
  </si>
  <si>
    <t>Борзых С. В.</t>
  </si>
  <si>
    <t>978-5-16-009203-4</t>
  </si>
  <si>
    <t>37.04.01, 47.04.01, 47.06.01</t>
  </si>
  <si>
    <t>821498.01.01</t>
  </si>
  <si>
    <t>Идея света в русской культуре: Моногр. / О.В.Солдатенкова - М.:НИЦ ИНФРА-М,2025. - 172 с.(Науч.мысль)(о)</t>
  </si>
  <si>
    <t>ИДЕЯ СВЕТА В РУССКОЙ КУЛЬТУРЕ</t>
  </si>
  <si>
    <t>Солдатенкова О.В.</t>
  </si>
  <si>
    <t>978-5-16-019723-4</t>
  </si>
  <si>
    <t>47.03.01, 47.04.01, 48.03.01, 51.03.01, 51.04.01</t>
  </si>
  <si>
    <t>Санкт-Петербургский государственный институт культуры</t>
  </si>
  <si>
    <t>Ноябрь, 2024</t>
  </si>
  <si>
    <t>686687.05.01</t>
  </si>
  <si>
    <t>Идея соборности и ее худ. вопл. в романе М.А. Шолохова.../ Н.В.Стюфляева - М.:НИЦ ИНФРА-М,2025 - 172 с.(О)</t>
  </si>
  <si>
    <t>ИДЕЯ СОБОРНОСТИ И ЕЕ ХУДОЖЕСТВЕННОЕ ВОПЛОЩЕНИЕ В РОМАНЕ М.А. ШОЛОХОВА "ТИХИЙ ДОН"</t>
  </si>
  <si>
    <t>Стюфляева Н.В.</t>
  </si>
  <si>
    <t>978-5-16-014271-5</t>
  </si>
  <si>
    <t>44.03.05, 45.03.01, 45.04.01</t>
  </si>
  <si>
    <t>807293.01.01</t>
  </si>
  <si>
    <t>Иерархия и координация источников права..: Моногр. / Под ред. Васильева А.А. - М.:НИЦ ИНФРА-М,2025. - 475 с.(п)</t>
  </si>
  <si>
    <t>ИЕРАРХИЯ И КООРДИНАЦИЯ ИСТОЧНИКОВ ПРАВА: ТЕОРЕТИЧЕСКИЕ И СРАВНИТЕЛЬНЫЕ АСПЕКТЫ</t>
  </si>
  <si>
    <t>Васильев А.А., Стоилов Я., Фролова Е.А. и др.</t>
  </si>
  <si>
    <t>978-5-16-020019-4</t>
  </si>
  <si>
    <t>40.03.01, 40.04.01, 41.03.05</t>
  </si>
  <si>
    <t>Алтайский государственный университет</t>
  </si>
  <si>
    <t>747819.01.01</t>
  </si>
  <si>
    <t>Из истории американской журналистики.: Моногр. / Т.В.Алентьева-М.:НИЦ ИНФРА-М,2021.-296 с.(Науч.мысль)(О)</t>
  </si>
  <si>
    <t>ИЗ ИСТОРИИ АМЕРИКАНСКОЙ ЖУРНАЛИСТИКИ. ФЕНОМЕН «NEW YORK TRIBUNE» И ОБЩЕСТВЕННОЕ МНЕНИЕ В США (1841-1861 ГГ.)</t>
  </si>
  <si>
    <t>978-5-16-016674-2</t>
  </si>
  <si>
    <t>41.03.06, 42.03.02, 42.04.02, 42.06.01</t>
  </si>
  <si>
    <t>АКАДЕМУС-2020, Победитель</t>
  </si>
  <si>
    <t>246500.08.01</t>
  </si>
  <si>
    <t>Из классических учений о политике и праве XX в..: Моногр. /С.А.Дробышевский -М.:Норма:ИНФРА-М, 2023 -112с(о)</t>
  </si>
  <si>
    <t>ИЗ КЛАССИЧЕСКИХ УЧЕНИЙ О ПОЛИТИКЕ И ПРАВЕ XX ВЕКА: АКТУАЛЬНЫЕ ИДЕИ Г. ЕЛЛИНЕКА И Д. ИСТОНА</t>
  </si>
  <si>
    <t>Дробышевский С. А.</t>
  </si>
  <si>
    <t>978-5-91768-436-9</t>
  </si>
  <si>
    <t>685751.06.01</t>
  </si>
  <si>
    <t>Избирательная сис. как фактор становления и развития...: Моногр. / Р.А.Алексеев - М.:ИНФРА-М,2024-211с.(П)</t>
  </si>
  <si>
    <t>ИЗБИРАТЕЛЬНАЯ СИСТЕМА КАК ФАКТОР СТАНОВЛЕНИЯ И РАЗВИТИЯ РОССИЙСКОЙ ДЕМОКРАТИИ (СРАВНИТЕЛЬНОЕ ПОЛИТИКО-ПРАВОВОЕ ИССЛЕДОВАНИЕ)</t>
  </si>
  <si>
    <t>Алексеев Р.А.</t>
  </si>
  <si>
    <t>978-5-16-014240-1</t>
  </si>
  <si>
    <t>38.03.04, 40.03.01, 40.04.01, 40.05.02, 44.03.05</t>
  </si>
  <si>
    <t>453300.03.01</t>
  </si>
  <si>
    <t>Избирательное право и избир.процесс в РФ: Курс лекций /А.Г.Головин -Юр.Норма, НИЦ ИНФРА-М, 2016-256с</t>
  </si>
  <si>
    <t>ИЗБИРАТЕЛЬНОЕ ПРАВО И ИЗБИРАТЕЛЬНЫЙ ПРОЦЕСС В РФ</t>
  </si>
  <si>
    <t>ГоловинА.Г.</t>
  </si>
  <si>
    <t>978-5-91768-673-8</t>
  </si>
  <si>
    <t>Государственная Дума Федерального Собрания Российской Федерации</t>
  </si>
  <si>
    <t>632533.03.01</t>
  </si>
  <si>
    <t>Избранное / Б.В.Россинский - М.: Юр.Норма, НИЦ ИНФРА-М, 2019. - 592 с.(П)</t>
  </si>
  <si>
    <t>ИЗБРАННОЕ</t>
  </si>
  <si>
    <t>978-5-91768-736-0</t>
  </si>
  <si>
    <t>445400.03.01</t>
  </si>
  <si>
    <t>Избранное / Н.А.Власенко - М.:Юр.Норма, НИЦ ИНФРА-М,2019. - 688 с.(П)</t>
  </si>
  <si>
    <t>Н.А.Власенко</t>
  </si>
  <si>
    <t>978-5-91768-664-6</t>
  </si>
  <si>
    <t>40.03.01, 40.04.01, 40.05.01, 40.05.02, 40.05.03, 44.03.05</t>
  </si>
  <si>
    <t>726667.01.01</t>
  </si>
  <si>
    <t>Избранное: монография / Е.Р.Россинская-М.:Юр.Норма,2019.-712 с.(П)</t>
  </si>
  <si>
    <t>Россинская Е.Р.</t>
  </si>
  <si>
    <t>978-5-00156-041-8</t>
  </si>
  <si>
    <t>765374.04.01</t>
  </si>
  <si>
    <t>Избранное: Сб. научных трудов / Г.Ф.Ручкина-М.:НИЦ ИНФРА-М,2024.-491 с.(Науч.мысль)(П)</t>
  </si>
  <si>
    <t>Ручкина Г.Ф.</t>
  </si>
  <si>
    <t>978-5-16-017222-4</t>
  </si>
  <si>
    <t>645471.06.01</t>
  </si>
  <si>
    <t>Избранные труды: Моногр. / П.А.Лупинская - М.:Юр.Норма, НИЦ ИНФРА-М,2025 - 608 с.(П)</t>
  </si>
  <si>
    <t>ИЗБРАННЫЕ ТРУДЫ</t>
  </si>
  <si>
    <t>Лупинская П.А.</t>
  </si>
  <si>
    <t>978-5-91768-783-4</t>
  </si>
  <si>
    <t>805905.01.01</t>
  </si>
  <si>
    <t>Изменение института власти в постсоветской России: Моногр. / И.В.Ситнова-М.:НИЦ ИНФРА-М,2023.-122 с.(о)</t>
  </si>
  <si>
    <t>ИЗМЕНЕНИЕ ИНСТИТУТА ВЛАСТИ В ПОСТСОВЕТСКОЙ РОССИИ: АКТИВИСТСКО-ДЕЯТЕЛЬНОСТНЫЙ ПОДХОД</t>
  </si>
  <si>
    <t>Ситнова И.В.</t>
  </si>
  <si>
    <t>978-5-16-018742-6</t>
  </si>
  <si>
    <t>41.04.04, 41.04.06, 41.06.01</t>
  </si>
  <si>
    <t>Мариупольский Государственный Университет имени А.И. Куинджи</t>
  </si>
  <si>
    <t>681852.06.01</t>
  </si>
  <si>
    <t>Изменение сост. и структуры компонентов ландшаф... / В.С.Груздев, - 2 изд.-М.:НИЦ ИНФРА-М,2023.-180 с.(о)</t>
  </si>
  <si>
    <t>ИЗМЕНЕНИЕ СОСТАВА И СТРУКТУРЫ КОМПОНЕНТОВ ЛАНДШАФТОВ ЛЕСНОЙ ЗОНЫ В УСЛОВИЯХ ТЕХНОГЕНЕЗА, ИЗД.2</t>
  </si>
  <si>
    <t>Груздев В.С., Суслов С.В.</t>
  </si>
  <si>
    <t>978-5-16-017382-5</t>
  </si>
  <si>
    <t>05.03.03, 05.03.04, 05.03.06, 05.04.03, 05.04.04, 05.04.06, 35.03.03, 35.03.05, 35.04.03</t>
  </si>
  <si>
    <t>681852.04.01</t>
  </si>
  <si>
    <t>Изменение сост.и структуры компонентов ландшаф...: Моногр. / В.С.Груздев - М.:НИЦ ИНФРА-М,2022-177с(О)</t>
  </si>
  <si>
    <t>ИЗМЕНЕНИЕ СОСТАВА И СТРУКТУРЫ КОМПОНЕНТОВ ЛАНДШАФТОВ ЛЕСНОЙ ЗОНЫ В УСЛОВИЯХ ТЕХНОГЕНЕЗА</t>
  </si>
  <si>
    <t>Груздев В.С., Груздева Л.П., Суслов С.В.</t>
  </si>
  <si>
    <t>978-5-16-014022-3</t>
  </si>
  <si>
    <t>851586.01.01</t>
  </si>
  <si>
    <t>Изучение преступной деят. с использ. искусств. интеллекта: Моногр. / А.А.Бессонов - М.:НИЦ ИНФРА-М,2025 - 432 с.:цв.ил.(п)</t>
  </si>
  <si>
    <t>ИЗУЧЕНИЕ ПРЕСТУПНОЙ ДЕЯТЕЛЬНОСТИ С ИСПОЛЬЗОВАНИЕМ ИСКУССТВЕННОГО ИНТЕЛЛЕКТА</t>
  </si>
  <si>
    <t>Бессонов А.А.</t>
  </si>
  <si>
    <t>978-5-16-020805-3</t>
  </si>
  <si>
    <t>40.04.01, 40.05.02, 40.05.03, 40.06.01</t>
  </si>
  <si>
    <t>Московская академия Следственного комитета Российской Федерации имени А.Я. Сухарева</t>
  </si>
  <si>
    <t>750426.01.01</t>
  </si>
  <si>
    <t>Имена массовой культуры Великобритании и США: Лингвокультур. сл./ С.И.Гарагуля-М.:НИЦ ИНФРА-М,2024-381с(п)</t>
  </si>
  <si>
    <t>ИМЕНА МАССОВОЙ КУЛЬТУРЫ ВЕЛИКОБРИТАНИИ И США: ЛИНГВОКУЛЬТУРОЛОГИЧЕСКИЙ СЛОВАРЬ.</t>
  </si>
  <si>
    <t>978-5-16-016960-6</t>
  </si>
  <si>
    <t>732496.05.01</t>
  </si>
  <si>
    <t>Иммунопатогенез острого панкреатита: Моногр. / Е.Е.Ачкасов - М.:НИЦ ИНФРА-М,2023 - 168 с.(Науч.мысль)(О)</t>
  </si>
  <si>
    <t>ИММУНОПАТОГЕНЕЗ ОСТРОГО ПАНКРЕАТИТА</t>
  </si>
  <si>
    <t>Ачкасов Е.Е., Винник Ю.С., Дунаевская С.С.</t>
  </si>
  <si>
    <t>978-5-16-016246-1</t>
  </si>
  <si>
    <t>31.05.01, 31.08.28</t>
  </si>
  <si>
    <t>Первый Московский государственный медицинский университет им. И.М. Сеченова</t>
  </si>
  <si>
    <t>715720.02.01</t>
  </si>
  <si>
    <t>Иммунотропные эффекты лечебных факторов: Моногр. / А.М.Земсков и др.-М.:НИЦ ИНФРА-М,2023.-186 с..(О)</t>
  </si>
  <si>
    <t>ИММУНОТРОПНЫЕ ЭФФЕКТЫ ЛЕЧЕБНЫХ ФАКТОРОВ</t>
  </si>
  <si>
    <t>Земсков А.М., Земскова В.А., Земсков В.М.</t>
  </si>
  <si>
    <t>978-5-16-015526-5</t>
  </si>
  <si>
    <t>Воронежский государственный медицинский университет им. Н.Н. Бурденко</t>
  </si>
  <si>
    <t>699268.04.01</t>
  </si>
  <si>
    <t>Имплементация решений Европейского Суда по .. / Т.Я.Хабриева - М.:Юр.Норма, НИЦ ИНФРА-М,2022 - 416с(П)</t>
  </si>
  <si>
    <t>ИМПЛЕМЕНТАЦИЯ РЕШЕНИЙ ЕВРОПЕЙСКОГО СУДА ПО ПРАВАМ ЧЕЛОВЕКА В РОССИЙСКОЙ СИСТЕМЕ: КОНЦЕПЦИИ, ПРАВОВЫЕ ПОДХОДЫ И ПРАКТИКА ОБЕСПЕЧЕНИЯ</t>
  </si>
  <si>
    <t>Хабриева Т.Я., Капустин А.Я.</t>
  </si>
  <si>
    <t>978-5-91768-988-3</t>
  </si>
  <si>
    <t>634061.08.01</t>
  </si>
  <si>
    <t>Имя прилагательное в яз. рус. поэзии ХХ в.: Моногр./ А.Ф.Пантелеев, -2 изд.-М.:ИЦ РИОР, НИЦ ИНФРА-М,2025-134 с.(О)</t>
  </si>
  <si>
    <t>ИМЯ ПРИЛАГАТЕЛЬНОЕ В ЯЗЫКЕ РУССКОЙ ПОЭЗИИ ХХ ВЕКА, ИЗД.2</t>
  </si>
  <si>
    <t>Пантелеев А.Ф., Долматова А.С.</t>
  </si>
  <si>
    <t>978-5-369-01841-5</t>
  </si>
  <si>
    <t>44.04.01, 45.04.01, 45.04.02</t>
  </si>
  <si>
    <t>634061.04.01</t>
  </si>
  <si>
    <t>Имя прилагательное в языке рус.поэзии ХХ в.: Моногр. /А.Ф.Пантелеев-М.:ИЦ РИОР,НИЦ ИНФРА-М,2019-112с</t>
  </si>
  <si>
    <t>ИМЯ ПРИЛАГАТЕЛЬНОЕ В ЯЗЫКЕ РУССКОЙ ПОЭЗИИ ХХ ВЕКА</t>
  </si>
  <si>
    <t>978-5-369-01615-2</t>
  </si>
  <si>
    <t>474050.12.01</t>
  </si>
  <si>
    <t>Инвалидность и туризм: потреб. и дост..: Моногр. / Е.А.Сигида - М.:НИЦ ИНФРА-М,2024 - 106 с.(Науч.мысль)(о)</t>
  </si>
  <si>
    <t>ИНВАЛИДНОСТЬ И ТУРИЗМ: ПОТРЕБНОСТЬ И ДОСТУПНОСТЬ</t>
  </si>
  <si>
    <t>Сигида Е.А., Лукьянова И.Е.</t>
  </si>
  <si>
    <t>978-5-16-010152-1</t>
  </si>
  <si>
    <t>39.03.02, 39.04.02, 43.03.02, 43.04.02</t>
  </si>
  <si>
    <t>642204.05.01</t>
  </si>
  <si>
    <t>Инвестирование инновац. деят. наукоемких..: Моногр. / Д.А.Плотников - М.:НИЦ ИНФРА-М,2023-289с.(П)</t>
  </si>
  <si>
    <t>ИНВЕСТИРОВАНИЕ ИННОВАЦИОННОЙ ДЕЯТЕЛЬНОСТИ НАУКОЕМКИХ ВЫСОКОТЕХНОЛОГИЧНЫХ ПРЕДПРИЯТИЙ</t>
  </si>
  <si>
    <t>Плотников Д.А., Плотников А.Н.</t>
  </si>
  <si>
    <t>978-5-16-012429-2</t>
  </si>
  <si>
    <t>22.04.02, 23.04.03, 27.03.05, 27.04.05, 27.04.07, 38.03.01, 51.04.02</t>
  </si>
  <si>
    <t>Саратовский государственный технический университет им. Гагарина Ю.А.</t>
  </si>
  <si>
    <t>260500.06.01</t>
  </si>
  <si>
    <t>Инвестиционная политика в области науч.-технич. инновац..: моногр./Н.Н.Жаркова - ИНФРА-М, 2024-95с. (о)</t>
  </si>
  <si>
    <t>ИНВЕСТИЦИОННАЯ ПОЛИТИКА В ОБЛАСТИ НАУЧНО-ТЕХНИЧЕСКОЙ ИННОВАЦИОННОЙ ДЕЯТЕЛЬНОСТИ ПРЕДПРИЯТИЙ ТЕКСТИЛЬНОГО И ШВЕЙНОГО ПРОИЗВОДСТВА</t>
  </si>
  <si>
    <t>Жаркова Н. Н.</t>
  </si>
  <si>
    <t>978-5-16-018347-3</t>
  </si>
  <si>
    <t>38.03.01, 38.03.02, 38.04.01, 38.04.02, 41.03.06</t>
  </si>
  <si>
    <t>Белорусский государственный аграрный технический университет</t>
  </si>
  <si>
    <t>304000.03.01</t>
  </si>
  <si>
    <t>Инвестиционные проекты в мире социальных систем:Монография / В.А.Москвин-М.:КУРС,2018.-256 с..-(Наука)(П 7БЦ)</t>
  </si>
  <si>
    <t>ИНВЕСТИЦИОННЫЕ ПРОЕКТЫ В МИРЕ СОЦИАЛЬНЫХ СИСТЕМ</t>
  </si>
  <si>
    <t>Москвин В.А.</t>
  </si>
  <si>
    <t>КУРС</t>
  </si>
  <si>
    <t>Наука</t>
  </si>
  <si>
    <t>978-5-906818-30-0</t>
  </si>
  <si>
    <t>38.03.01, 38.03.02, 38.03.03, 38.03.04, 38.03.05, 38.04.01, 38.04.02, 38.04.03, 38.04.04, 38.04.08, 38.04.09, 39.03.01, 39.03.02, 39.04.01, 39.04.02</t>
  </si>
  <si>
    <t>742687.06.01</t>
  </si>
  <si>
    <t>Индустрия культуры и креатива: Моногр. / Н.А.Мальшина - М.:НИЦ ИНФРА-М,2026 - 160 с.(Науч.мысль)(О)</t>
  </si>
  <si>
    <t>ИНДУСТРИЯ КУЛЬТУРЫ И КРЕАТИВА: УПРАВЛЕНИЕ ПОТОКОВЫМИ ПРОЦЕССАМИ</t>
  </si>
  <si>
    <t>Мальшина Н.А., Гарнов А.П.</t>
  </si>
  <si>
    <t>978-5-16-016470-0</t>
  </si>
  <si>
    <t>38.03.02, 38.04.02, 50.04.04, 51.04.04</t>
  </si>
  <si>
    <t>Саратовская государственная консерватория имени Л.В. Собинова</t>
  </si>
  <si>
    <t>712426.03.01</t>
  </si>
  <si>
    <t>Инженерия поверхности упрочненных деталей: Моногр. / О.А.Шарая - М.:НИЦ ИНФРА-М,2025 - 124 с.(О)</t>
  </si>
  <si>
    <t>ИНЖЕНЕРИЯ ПОВЕРХНОСТИ УПРОЧНЕННЫХ ДЕТАЛЕЙ</t>
  </si>
  <si>
    <t>Шарая О.А., Пастухов А.Г., Кравченко И.Н.</t>
  </si>
  <si>
    <t>978-5-16-015424-4</t>
  </si>
  <si>
    <t>22.04.01, 22.06.01, 35.04.06, 35.06.04</t>
  </si>
  <si>
    <t>Белгородский государственный аграрный университет им. В.Я. Горина</t>
  </si>
  <si>
    <t>488550.08.01</t>
  </si>
  <si>
    <t>Инженерно-геологический словарь / А.Д.Потапов - М.:НИЦ ИНФРА-М,2023 -336с.(Б-ка словарей ИНФРА-М)(п)</t>
  </si>
  <si>
    <t>ИНЖЕНЕРНО-ГЕОЛОГИЧЕСКИЙ СЛОВАРЬ</t>
  </si>
  <si>
    <t>Потапов А.Д., Ревелис И.Л., Чернышев С.Н.</t>
  </si>
  <si>
    <t>978-5-16-010692-2</t>
  </si>
  <si>
    <t>05.03.01, 05.04.01, 08.03.01, 08.04.01, 21.05.02, 21.05.03</t>
  </si>
  <si>
    <t>Национальный исследовательский Московский государственный строительный университет</t>
  </si>
  <si>
    <t>667549.03.01</t>
  </si>
  <si>
    <t>Инженерные методы расчета задач..: Моногр./ Ю.В.Видин и др.-М.:НИЦ ИНФРА-М, СФУ,2020-168 с.(Науч.мысль)(П)</t>
  </si>
  <si>
    <t>ИНЖЕНЕРНЫЕ МЕТОДЫ РАСЧЕТА ЗАДАЧ ТЕПЛООБМЕНА</t>
  </si>
  <si>
    <t>Видин Ю.В., Иванов В.В., Казаков Р.В.</t>
  </si>
  <si>
    <t>978-5-16-013229-7</t>
  </si>
  <si>
    <t>13.04.01, 13.05.01, 13.06.01</t>
  </si>
  <si>
    <t>765456.01.01</t>
  </si>
  <si>
    <t>Инициативное бюджетирование: эволюция теор. и прак.: Моногр. / В.В.Вагин-М.:НИЦ ИНФРА-М,2022-270 с.(О)</t>
  </si>
  <si>
    <t>ИНИЦИАТИВНОЕ БЮДЖЕТИРОВАНИЕ: ЭВОЛЮЦИЯ ТЕОРИИ И ПРАКТИКИ</t>
  </si>
  <si>
    <t>Вагин В.В., Шугрина Е.С., Пинская М.Р. и др.</t>
  </si>
  <si>
    <t>978-5-16-017247-7</t>
  </si>
  <si>
    <t>38.04.01, 38.04.04, 38.04.08, 38.06.01, 40.04.01, 56.04.10</t>
  </si>
  <si>
    <t>Научно-исследовательский финансовый институт Минфина России</t>
  </si>
  <si>
    <t>804517.02.01</t>
  </si>
  <si>
    <t>Инновации в проф. образовании: пробл., подходы..: Моногр. / Р.Р.Байгутлин - М.:НИЦ ИНФРА-М,2026. - 336 с.(п)</t>
  </si>
  <si>
    <t>ИННОВАЦИИ В ПРОФЕССИОНАЛЬНОМ ОБРАЗОВАНИИ: ПРОБЛЕМЫ, ПОДХОДЫ, ПЕДАГОГИЧЕСКИЕ ТЕХНОЛОГИИ</t>
  </si>
  <si>
    <t>978-5-16-018875-1</t>
  </si>
  <si>
    <t>44.04.01, 44.04.02, 44.06.01</t>
  </si>
  <si>
    <t>732499.02.01</t>
  </si>
  <si>
    <t>Инновации в социальных и образовательных системах: Моногр./ Н.Н.Каргин-М.:НИЦ ИНФРА-М,2022-299с.(О)</t>
  </si>
  <si>
    <t>ИННОВАЦИИ В СОЦИАЛЬНЫХ И ОБРАЗОВАТЕЛЬНЫХ СИСТЕМАХ  (НА ПРИМЕРЕ СПОРТИВНО-ОЗДОРОВИТЕЛЬНОЙ ДЕЯТЕЛЬНОСТИ)</t>
  </si>
  <si>
    <t>Каргин Н.Н., Лаамарти Ю.А.</t>
  </si>
  <si>
    <t>978-5-16-016194-5</t>
  </si>
  <si>
    <t>39.03.01, 39.04.01, 39.04.03, 39.06.01</t>
  </si>
  <si>
    <t>657679.04.01</t>
  </si>
  <si>
    <t>Инновационная модель развития экономики региона: Моногр. / П.А.Левчаев-М.:НИЦ ИНФРА-М,2023.-92 с.(О)</t>
  </si>
  <si>
    <t>ИННОВАЦИОННАЯ МОДЕЛЬ РАЗВИТИЯ ЭКОНОМИКИ РЕГИОНА</t>
  </si>
  <si>
    <t>Левчаев П.А.</t>
  </si>
  <si>
    <t>978-5-16-012894-8</t>
  </si>
  <si>
    <t>27.03.05, 27.04.05, 27.04.07, 38.03.01, 38.03.02, 38.04.01, 38.04.02</t>
  </si>
  <si>
    <t>Саранский электромеханический колледж</t>
  </si>
  <si>
    <t>687648.07.01</t>
  </si>
  <si>
    <t>Инновационная среда крупных рос.компаний..:Моногр. / Н.Н.Веселитская-М.:НИЦ ИНФРА-М,2024-118с(О)</t>
  </si>
  <si>
    <t>ИННОВАЦИОННАЯ СРЕДА КРУПНЫХ РОССИЙСКИХ КОМПАНИЙ: ПОИСК МЕХАНИЗМОВ ВЗАИМОДЕЙСТВИЯ</t>
  </si>
  <si>
    <t>Веселитская Н.Н.</t>
  </si>
  <si>
    <t>978-5-16-014269-2</t>
  </si>
  <si>
    <t>27.04.05, 27.04.07, 38.03.01, 38.03.02, 38.04.01, 38.04.02</t>
  </si>
  <si>
    <t>348500.05.01</t>
  </si>
  <si>
    <t>Инновационная технол.иммобил.радиоактив.отход..: Моногр. / В.А.Лебедев - М.:ИЦ РИОР,НИЦ ИНФРА-М,2026 - 88 с.(о)</t>
  </si>
  <si>
    <t>ИННОВАЦИОННАЯ ТЕХНОЛОГИЯ ИММОБИЛИЗАЦИИ РАДИОАКТИВНЫХ ОТХОДОВ НА ОСНОВЕ МАГНЕЗИАЛЬНЫХ МАТРИЦ</t>
  </si>
  <si>
    <t>Лебедев В.А., Пискунов В.М.</t>
  </si>
  <si>
    <t>978-5-369-01429-5</t>
  </si>
  <si>
    <t>18.03.01, 18.04.01, 18.05.01, 18.05.02</t>
  </si>
  <si>
    <t>Санкт-Петербургский горный университет</t>
  </si>
  <si>
    <t>446350.07.01</t>
  </si>
  <si>
    <t>Инновационное развитие рос. компаний на основе.: Моногр. / В.В.Уваров - М:Магистр:НИЦ ИНФРА-М,2026 - 224 с. (о)</t>
  </si>
  <si>
    <t>ИННОВАЦИОННОЕ РАЗВИТИЕ РОССИЙСКИХ КОМПАНИЙ НА ОСНОВЕ МЕЖДУНАРОДНОЙ ИНТЕГРАЦИИ</t>
  </si>
  <si>
    <t>Уваров В. В.</t>
  </si>
  <si>
    <t>978-5-9776-0279-2</t>
  </si>
  <si>
    <t>27.03.05, 38.03.01, 38.03.02, 38.04.01, 38.04.02, 41.03.06</t>
  </si>
  <si>
    <t>112900.20.01</t>
  </si>
  <si>
    <t>Инновационное развитие: эконом.,интеллект.ресурс... / Б.З.Мильнер - М:НИЦ ИНФРА-М,2026 - 624 с.(Науч.мысль)(П)</t>
  </si>
  <si>
    <t>ИННОВАЦИОННОЕ РАЗВИТИЕ: ЭКОНОМИКА, ИНТЕЛЛЕКТУАЛЬНЫЕ РЕСУРСЫ, УПРАВЛЕНИЕ ЗНАНИЯМИ</t>
  </si>
  <si>
    <t>Мильнер Б.З.</t>
  </si>
  <si>
    <t>978-5-16-003649-6</t>
  </si>
  <si>
    <t>02.04.03, 38.03.03, 38.03.06, 38.06.01, 38.07.02, 41.03.06</t>
  </si>
  <si>
    <t>684141.07.01</t>
  </si>
  <si>
    <t>Инновационно-тех. пути обесп. нац. безоп. России: Моногр. /А.В.Леонов-М.:НИЦ ИНФРА-М,2024-268с(О)</t>
  </si>
  <si>
    <t>ИННОВАЦИОННО-ТЕХНОЛОГИЧЕСКИЕ ПУТИ ОБЕСПЕЧЕНИЯ НАЦИОНАЛЬНОЙ БЕЗОПАСНОСТИ РОССИИ</t>
  </si>
  <si>
    <t>Леонов А.В., Пронин А.Ю.</t>
  </si>
  <si>
    <t>978-5-16-016345-1</t>
  </si>
  <si>
    <t>56.04.01, 57.05.03</t>
  </si>
  <si>
    <t>Центральный научно-исследовательский институт Военно-воздушных сил Министерства обороны Российской Ф</t>
  </si>
  <si>
    <t>649556.09.01</t>
  </si>
  <si>
    <t>Инновационные модели проф. деят. педагог.: Моногр. / Под ред. Сергеевой В.П. - М.:НИЦ ИНФРА-М,2026 - 165с.(П)</t>
  </si>
  <si>
    <t>ИННОВАЦИОННЫЕ МОДЕЛИ ПРОФЕССИОНАЛЬНОЙ ДЕЯТЕЛЬНОСТИ ПЕДАГОГОВ В ОБРАЗОВАТЕЛЬНЫХ ОРГАНИЗАЦИЯХ В ЦЕЛЯХ СОЦИАЛИЗАЦИИ ДЕТЕЙ И МОЛОДЕЖИ</t>
  </si>
  <si>
    <t>Подымова Л.С., Сергеева В.П., Гайнуллова Ф.С. и др.</t>
  </si>
  <si>
    <t>978-5-16-012696-8</t>
  </si>
  <si>
    <t>44.03.01, 44.03.02, 44.03.05, 44.04.01, 44.04.02</t>
  </si>
  <si>
    <t>847974.01.01</t>
  </si>
  <si>
    <t>Инновационные средства фиксации информации в..: Моногр. / А.В.Кружалова - М.:НИЦ ИНФРА-М,2025. - 216 с.(п)</t>
  </si>
  <si>
    <t>ИННОВАЦИОННЫЕ СРЕДСТВА ФИКСАЦИИ ИНФОРМАЦИИ В АРБИТРАЖНОМ СУДОПРОИЗВОДСТВЕ</t>
  </si>
  <si>
    <t>Кружалова А.В.</t>
  </si>
  <si>
    <t>978-5-16-020636-3</t>
  </si>
  <si>
    <t>Саратовская государственная юридическая академия</t>
  </si>
  <si>
    <t>670494.04.01</t>
  </si>
  <si>
    <t>Инновационные характерист.субъектов рынка труда..: Моногр. / А.А.Рабцевич - М.:НИЦ ИНФРА-М,2022-152с(П)</t>
  </si>
  <si>
    <t>ИННОВАЦИОННЫЕ ХАРАКТЕРИСТИКИ СУБЪЕКТОВ РЫНКА ТРУДА: АНАЛИЗ И ОСНОВНЫЕ НАПРАВЛЕНИЯ ФОРМИРОВАНИЯ</t>
  </si>
  <si>
    <t>Рабцевич А.А.</t>
  </si>
  <si>
    <t>978-5-16-013483-3</t>
  </si>
  <si>
    <t>38.03.01, 38.03.03, 41.03.06</t>
  </si>
  <si>
    <t>808357.01.01</t>
  </si>
  <si>
    <t>Инновационный механизм развития управ. промыш. орг.: Моногр. / И.И.Мельничук-М.:НИЦ ИНФРА-М,2024.-168 с(о)</t>
  </si>
  <si>
    <t>ИННОВАЦИОННЫЙ МЕХАНИЗМ РАЗВИТИЯ УПРАВЛЕНИЯ ПРОМЫШЛЕННОЙ ОРГАНИЗАЦИЕЙ</t>
  </si>
  <si>
    <t>Скубрий Е.В., Мельничук И.И., Желтенков А.В. и др.</t>
  </si>
  <si>
    <t>978-5-16-019044-0</t>
  </si>
  <si>
    <t>Академия гражданской защиты МЧС России</t>
  </si>
  <si>
    <t>437450.07.01</t>
  </si>
  <si>
    <t>Инновационный ритейл. Организ. лидерство и..: Моногр. /В.П.Чеглов -2 изд. -ФОРУМ: ИНФРА-М, 2023 -272с (о)</t>
  </si>
  <si>
    <t>ИННОВАЦИОННЫЙ РИТЕЙЛ. ОРГАНИЗАЦИОННОЕ ЛИДЕРСТВО И ЭФФЕКТИВНЫЕ ТЕХНОЛОГИИ, ИЗД.2</t>
  </si>
  <si>
    <t>Чеглов В.П.</t>
  </si>
  <si>
    <t>978-5-8199-0606-4</t>
  </si>
  <si>
    <t>38.03.01, 38.03.02, 38.03.05, 38.03.06, 38.03.07, 38.04.01, 38.04.02, 38.04.05, 38.04.06, 38.04.07, 41.03.06</t>
  </si>
  <si>
    <t>750023.04.01</t>
  </si>
  <si>
    <t>Институт административ. отв. несовершеннолетних в России: Моногр. / Е.А.Кириллова - М.:НИЦ ИНФРА-М,2025 - 183 с.(О)</t>
  </si>
  <si>
    <t>ИНСТИТУТ АДМИНИСТРАТИВНОЙ ОТВЕТСТВЕННОСТИ НЕСОВЕРШЕННОЛЕТНИХ В РОССИИ</t>
  </si>
  <si>
    <t>978-5-16-016924-8</t>
  </si>
  <si>
    <t>39.03.02, 39.04.02, 40.02.02, 40.02.04, 40.03.01, 40.04.01, 40.05.02, 40.05.04, 40.06.01, 44.03.05</t>
  </si>
  <si>
    <t>472800.05.01</t>
  </si>
  <si>
    <t>Институт гос. и муниц. услуг в совр.праве РФ: Моногр. / В.И.Фадеев - М.:Юр.Норма,НИЦ ИНФРА-М,2025 - 208 с.(о)</t>
  </si>
  <si>
    <t>ИНСТИТУТ ГОСУДАРСТВЕННЫХ И МУНИЦИПАЛЬНЫХ УСЛУГ В СОВРЕМЕННОМ ПРАВЕ РФ</t>
  </si>
  <si>
    <t>Фадеев В.И.</t>
  </si>
  <si>
    <t>978-5-91768-698-1</t>
  </si>
  <si>
    <t>Белгородский университет кооперации, экономики и права, Курский институт кооперации ф-л</t>
  </si>
  <si>
    <t>701894.03.01</t>
  </si>
  <si>
    <t>Институт юридич. ответств.: Моногр. / Под ред. Липинского Д.А.-М.:ИЦ РИОР, НИЦ ИНФРА-М,2024.-230 с(О)</t>
  </si>
  <si>
    <t>ИНСТИТУТ ЮРИДИЧЕСКОЙ ОТВЕТСТВЕННОСТИ</t>
  </si>
  <si>
    <t>Липинский Д.А., Савельев Ю.М., Чуклова Е.В. и др.</t>
  </si>
  <si>
    <t>978-5-369-01801-9</t>
  </si>
  <si>
    <t>667387.04.01</t>
  </si>
  <si>
    <t>Институты в качестве факторов..: Моногр. / А.А.Медведь - М.:НИЦ ИНФРА-М,2024 - 114 с.(Науч.мысль)(О)</t>
  </si>
  <si>
    <t>ИНСТИТУТЫ В КАЧЕСТВЕ ФАКТОРОВ ИНВЕСТИЦИОННОГО ПРОЦЕССА В ЭКОНОМИКЕ РФ</t>
  </si>
  <si>
    <t>Медведь А.А.</t>
  </si>
  <si>
    <t>978-5-16-013460-4</t>
  </si>
  <si>
    <t>Санкт-Петербургский государственный экономический университет</t>
  </si>
  <si>
    <t>720342.07.01</t>
  </si>
  <si>
    <t>Институты публич. власти в условиях глобализации / Т.А.Васильева - М.:Юр. НОРМА, НИЦ ИНФРА-М,2025. - 272 с.(п)</t>
  </si>
  <si>
    <t>ИНСТИТУТЫ ПУБЛИЧНОЙ ВЛАСТИ В УСЛОВИЯХ ГЛОБАЛИЗАЦИИ</t>
  </si>
  <si>
    <t>Васильева Т.А., Некрасов С.И., Курюкин А.Н. и др.</t>
  </si>
  <si>
    <t>978-5-00156-026-5</t>
  </si>
  <si>
    <t>38.03.04, 40.03.01, 40.05.01, 40.05.02, 40.05.03</t>
  </si>
  <si>
    <t>681271.07.01</t>
  </si>
  <si>
    <t>Институты финансовой безопасности: Монография / И.И.Кучеров - М.:НИЦ ИНФРА-М, 2022-246с (ИЗиСП)(П)</t>
  </si>
  <si>
    <t>ИНСТИТУТЫ ФИНАНСОВОЙ БЕЗОПАСНОСТИ</t>
  </si>
  <si>
    <t>Кучеров И.И., Поветкина Н.А., Акопян О.А. и др.</t>
  </si>
  <si>
    <t>978-5-16-013740-7</t>
  </si>
  <si>
    <t>38.03.01, 38.04.01, 38.04.08, 38.05.01, 40.03.01, 40.04.01, 40.05.01</t>
  </si>
  <si>
    <t>266400.06.01</t>
  </si>
  <si>
    <t>Институциональное обесп. модернизации экономики..: Моногр. / Е.А.Григорьева - М.:НИЦ ИНФРА-М,2022-156с.(О)</t>
  </si>
  <si>
    <t>ИНСТИТУЦИОНАЛЬНОЕ ОБЕСПЕЧЕНИЕ МОДЕРНИЗАЦИИ ЭКОНОМИКИ КАК УСЛОВИЕ ЭКОНОМИЧЕСКОЙ БЕЗОПАСНОСТИ</t>
  </si>
  <si>
    <t>Григорьева Е.А.</t>
  </si>
  <si>
    <t>978-5-16-009586-8</t>
  </si>
  <si>
    <t>715119.02.01</t>
  </si>
  <si>
    <t>Институционально-правовые преобразования...: Моногр./ Г.Ф. Ручкиной, М. : ИНФРА-М, 2023 —265 с.(О)</t>
  </si>
  <si>
    <t>ИНСТИТУЦИОНАЛЬНО-ПРАВОВЫЕ ПРЕОБРАЗОВАНИЯ, НАПРАВЛЕННЫЕ НА ПОВЫШЕНИЕ ЭКСПОРТНОЙ КОНКУРЕНТОСПОСОБНОСТИ РОССИЙСКИХ ТОВАРОВ И ПРЕОДОЛЕНИЕ СДЕРЖИВАЮЩИХ ОГРАНИЧЕНИЙ</t>
  </si>
  <si>
    <t>Ручкина Г.Ф., Демченко М.В., Дахненко С.С. и др.</t>
  </si>
  <si>
    <t>978-5-16-015520-3</t>
  </si>
  <si>
    <t>38.04.01, 38.06.01, 40.04.01, 40.06.01</t>
  </si>
  <si>
    <t>346200.06.01</t>
  </si>
  <si>
    <t>Институционально-экон.основы оценки качества упр... /О.В.Кожевина-НИЦ ИНФРА-М,2022-131с.(Науч.мысль)</t>
  </si>
  <si>
    <t>ИНСТИТУЦИОНАЛЬНО-ЭКОНОМИЧЕСКИЕ ОСНОВЫ ОЦЕНКИ КАЧЕСТВА УПРАВЛЕНИЯ В ОРГАНИЗАЦИЯХ ГОСУДАРСТВЕННОГО СЕКТОРА</t>
  </si>
  <si>
    <t>О.В.Кожевина, Н.В.Балунова, А.Н.Бойко</t>
  </si>
  <si>
    <t>978-5-16-010814-8</t>
  </si>
  <si>
    <t>38.04.02, 38.04.04, 38.06.01</t>
  </si>
  <si>
    <t>Рекомендовано Советом Учебно-методического объединения по образованию в области менеджмента в качестве учебного пособия для студентов высших учебных заведений, обучающихся по направлениям подготовки 38.04.02 «Менеджмент» и 38.04.04 «Государственное и муниципальное управление» (квалификация (степень) «магистр»)</t>
  </si>
  <si>
    <t>774880.01.01</t>
  </si>
  <si>
    <t>Институциональные изменения в совр. Рос.: монография / И.В.Ситнова-М.:НИЦ ИНФРА-М,2023.-179 с.(О)</t>
  </si>
  <si>
    <t>ИНСТИТУЦИОНАЛЬНЫЕ ИЗМЕНЕНИЯ В СОВРЕМЕННОЙ РОССИИ: АКТИВИСТСКО-ДЕЯТЕЛЬНОСТНЫЙ ПОДХОД</t>
  </si>
  <si>
    <t>978-5-16-017742-7</t>
  </si>
  <si>
    <t>321400.06.01</t>
  </si>
  <si>
    <t>Институциональные основы теории финансов.: Моногр. / Р.М.Нижегородцев - М.:НИЦ ИНФРА-М,2023 - 220 с.(о)</t>
  </si>
  <si>
    <t>ИНСТИТУЦИОНАЛЬНЫЕ ОСНОВЫ ТЕОРИИ ФИНАНСОВ: СОВРЕМЕННЫЕ ПОДХОДЫ</t>
  </si>
  <si>
    <t>Нижегородцев Р.М., Горидько Н.П., Шкодина И.В.</t>
  </si>
  <si>
    <t>978-5-16-010455-3</t>
  </si>
  <si>
    <t>38.03.01, 38.04.01, 38.04.08</t>
  </si>
  <si>
    <t>Институт проблем управления им. В.А. Трапезникова Российской академии наук</t>
  </si>
  <si>
    <t>651873.03.01</t>
  </si>
  <si>
    <t>Институциональный анализ дисфункций гос.упр..:Моногр./ В.С.Осипов-М.:Вуз. уч.,НИЦ ИНФРА-М,2020-208с.</t>
  </si>
  <si>
    <t>ИНСТИТУЦИОНАЛЬНЫЙ АНАЛИЗ ДИСФУНКЦИЙ ГОСУДАРСТВЕННОГО УПРАВЛЕНИЯ ЭКОНОМИКОЙ</t>
  </si>
  <si>
    <t>Осипов В.С.</t>
  </si>
  <si>
    <t>978-5-9558-0542-9</t>
  </si>
  <si>
    <t>Профессиональное образование / ВО - Магистратура</t>
  </si>
  <si>
    <t>06.04.01, 27.03.02, 27.04.07, 38.04.01, 38.04.02, 38.04.04, 38.04.05, 38.04.08, 38.04.09, 40.03.01, 44.03.05</t>
  </si>
  <si>
    <t>664265.12.01</t>
  </si>
  <si>
    <t>Инструкция по движ. поездов и маневровой работе на Ж/Д транспорте РФ - 2 изд. - М.:НИЦ ИНФРА-М,2026 - 337 с.(П)</t>
  </si>
  <si>
    <t>ИНСТРУКЦИЯ ПО ДВИЖЕНИЮ ПОЕЗДОВ И МАНЕВРОВОЙ РАБОТЕ НА ЖЕЛЕЗНОДОРОЖНОМ ТРАНСПОРТЕ РОССИЙСКОЙ ФЕДЕРАЦИИ, ИЗД.2</t>
  </si>
  <si>
    <t>978-5-16-018187-5</t>
  </si>
  <si>
    <t>Инструкция</t>
  </si>
  <si>
    <t>23.02.01, 23.05.04</t>
  </si>
  <si>
    <t>664265.07.01</t>
  </si>
  <si>
    <t>Инструкция по движению поездов и маневровой работе на Ж/Д транспорте РФ - М.:НИЦ ИНФРА-М,2022-271 с.(О)</t>
  </si>
  <si>
    <t>ИНСТРУКЦИЯ ПО ДВИЖЕНИЮ ПОЕЗДОВ И МАНЕВРОВОЙ РАБОТЕ НА ЖЕЛЕЗНОДОРОЖНОМ ТРАНСПОРТЕ РОССИЙСКОЙ ФЕДЕРАЦИИ</t>
  </si>
  <si>
    <t>978-5-16-013057-6</t>
  </si>
  <si>
    <t>662712.02.01</t>
  </si>
  <si>
    <t>Инструкция по обеспеч.безопас.движ.поездов при производстве... - М.:НИЦ ИНФРА-М,2019 - 208 с.(П)</t>
  </si>
  <si>
    <t>ИНСТРУКЦИЯ ПО ОБЕСПЕЧЕНИЮ БЕЗОПАСНОСТИ ДВИЖЕНИЯ ПОЕЗДОВ ПРИ ПРОИЗВОДСТВЕ ПУТЕВЫХ РАБОТ</t>
  </si>
  <si>
    <t>978-5-16-013041-5</t>
  </si>
  <si>
    <t>798232.01.01</t>
  </si>
  <si>
    <t>Инструкция по охране труда для электромеханика и... / Без автора-М.:НИЦ ИНФРА-М,2023.-138 с.(о)</t>
  </si>
  <si>
    <t>ИНСТРУКЦИЯ ПО ОХРАНЕ ТРУДА ДЛЯ ЭЛЕКТРОМЕХАНИКА И ЭЛЕКТРОМОНТЕРА ПРИ ТЕХНИЧЕСКОМ ОБСЛУЖИВАНИИ И РЕМОНТЕ УСТРОЙСТВ СИГНАЛИЗАЦИИ, ЦЕНТРАЛИЗАЦИИ И БЛОКИРО</t>
  </si>
  <si>
    <t>978-5-16-018189-9</t>
  </si>
  <si>
    <t>23.02.05, 23.02.06</t>
  </si>
  <si>
    <t>662908.11.01</t>
  </si>
  <si>
    <t>Инструкция по ремонту и обслуж. автосцепного устр. подвижн. состава  Ж/Д - М.:НИЦ ИНФРА-М,2026 - 96 с.(О)</t>
  </si>
  <si>
    <t>ИНСТРУКЦИЯ ПО РЕМОНТУ И ОБСЛУЖИВАНИЮ АВТОСЦЕПНОГО УСТРОЙСТВА ПОДВИЖНОГО СОСТАВА ЖЕЛЕЗНЫХ ДОРОГ</t>
  </si>
  <si>
    <t>978-5-16-013042-2</t>
  </si>
  <si>
    <t>23.05.03, 23.05.04, 23.05.05, 23.05.06</t>
  </si>
  <si>
    <t>795899.05.01</t>
  </si>
  <si>
    <t>Инструкция по сигнализации на ж/д транспорте РФ - М.:НИЦ ИНФРА-М,2026 - 130 с.:цв.ил.(п)</t>
  </si>
  <si>
    <t>ИНСТРУКЦИЯ ПО СИГНАЛИЗАЦИИ НА ЖЕЛЕЗНОДОРОЖНОМ ТРАНСПОРТЕ РФ</t>
  </si>
  <si>
    <t>978-5-16-018110-3</t>
  </si>
  <si>
    <t>662372.05.01</t>
  </si>
  <si>
    <t>Инструкция по текущему содержанию железнодорожного пути - 2 изд. - М.:НИЦ ИНФРА-М,2022 - 287 с.(П)</t>
  </si>
  <si>
    <t>ИНСТРУКЦИЯ ПО ТЕКУЩЕМУ СОДЕРЖАНИЮ ЖЕЛЕЗНОДОРОЖНОГО ПУТИ, ИЗД.2</t>
  </si>
  <si>
    <t>978-5-16-101625-1</t>
  </si>
  <si>
    <t>23.05.04</t>
  </si>
  <si>
    <t>662372.09.01</t>
  </si>
  <si>
    <t>Инструкция по текущему содержанию железнодорожного пути - 3 изд. - М.:НИЦ ИНФРА-М,2025. - 270 с.(п)</t>
  </si>
  <si>
    <t>ИНСТРУКЦИЯ ПО ТЕКУЩЕМУ СОДЕРЖАНИЮ ЖЕЛЕЗНОДОРОЖНОГО ПУТИ, ИЗД.3</t>
  </si>
  <si>
    <t>978-5-16-020586-1</t>
  </si>
  <si>
    <t>662372.03.01</t>
  </si>
  <si>
    <t>Инструкция по текущему содержанию железнодорожного пути -М.:НИЦ ИНФРА-М,2019.-287 с.(П) [12+]</t>
  </si>
  <si>
    <t>ИНСТРУКЦИЯ ПО ТЕКУЩЕМУ СОДЕРЖАНИЮ ЖЕЛЕЗНОДОРОЖНОГО ПУТИ</t>
  </si>
  <si>
    <t>978-5-16-013003-3</t>
  </si>
  <si>
    <t>749728.01.01</t>
  </si>
  <si>
    <t>Инструментально-методич. подход к адаптации модели... / Под ред. Пахомовой Е.А.-М.:НИЦ ИНФРА-М,2021.-278 с.(О)</t>
  </si>
  <si>
    <t>ИНСТРУМЕНТАЛЬНО-МЕТОДИЧЕСКИЙ ПОДХОД К АДАПТАЦИИ МОДЕЛИ ТРОЙНОЙ СПИРАЛИ ДЛЯ УСЛОВИЙ РОССИИ С УЧЕТОМ ИСТОРИЧЕСКОЙ РЕТРОСПЕКТИВЫ</t>
  </si>
  <si>
    <t>Пахомова Е.А., Пахомов А.В., Лычагина Т.А. и др.</t>
  </si>
  <si>
    <t>978-5-16-016912-5</t>
  </si>
  <si>
    <t>681122.06.01</t>
  </si>
  <si>
    <t>Инструментарий логистики: Моногр. / А.П.Гарнов - 2 изд. - М.:НИЦ ИНФРА-М,2023 - 142 с.-(Науч.мысль)(О)</t>
  </si>
  <si>
    <t>ИНСТРУМЕНТАРИЙ ЛОГИСТИКИ, ИЗД.2</t>
  </si>
  <si>
    <t>Гарнов А.П., Киреева Н.С.</t>
  </si>
  <si>
    <t>978-5-16-013813-8</t>
  </si>
  <si>
    <t>15.04.04, 23.03.01, 29.04.02, 38.03.01, 42.03.03, 56.05.01</t>
  </si>
  <si>
    <t>393100.06.01</t>
  </si>
  <si>
    <t>Инструменты внутреннего контроля: Моногр. /В.Я.Вилисов-М.:ИЦ РИОР,НИЦ ИНФРА-М,2024-262с.(Науч.мысль)</t>
  </si>
  <si>
    <t>ИНСТРУМЕНТЫ ВНУТРЕННЕГО КОНТРОЛЯ</t>
  </si>
  <si>
    <t>Вилисов В.Я., Суков И.Е.</t>
  </si>
  <si>
    <t>978-5-369-01472-1</t>
  </si>
  <si>
    <t>38.03.01, 38.03.02, 38.03.04, 38.03.05, 38.04.01, 38.04.02, 38.04.04, 38.04.09, 44.03.05</t>
  </si>
  <si>
    <t>656556.07.01</t>
  </si>
  <si>
    <t>Инструменты оценки и обесп устойч.разв.отраслей рос.эконом.:Моногр. /Кожевина О.В.-М.:НИЦ ИНФРА-М,2023-174с</t>
  </si>
  <si>
    <t>ИНСТРУМЕНТЫ ОЦЕНКИ И ОБЕСПЕЧЕНИЯ УСТОЙЧИВОГО РАЗВИТИЯ ОТРАСЛЕЙ РОССИЙСКОЙ ЭКОНОМИКИ</t>
  </si>
  <si>
    <t>Кожевина О.В., Батаева Б.С., Богачев Ю.С. и др.</t>
  </si>
  <si>
    <t>978-5-16-014228-9</t>
  </si>
  <si>
    <t>38.03.01, 38.03.02, 38.04.01, 44.03.01</t>
  </si>
  <si>
    <t>791871.02.01</t>
  </si>
  <si>
    <t>Инструменты поддержки экспорт. проек. ESG на основе... / В.В.Перская.-М.:НИЦ ИНФРА-М,2024.-166 с.(О)</t>
  </si>
  <si>
    <t>ИНСТРУМЕНТЫ ПОДДЕРЖКИ ЭКСПОРТНЫХ ПРОЕКТОВ ESG НА ОСНОВЕ МЕЖДУНАРОДНОГО ОПЫТА</t>
  </si>
  <si>
    <t>Перская В.В., Стародубцева Е.Б., Хомякова Л.И. и др.</t>
  </si>
  <si>
    <t>978-5-16-018034-2</t>
  </si>
  <si>
    <t>665903.04.01</t>
  </si>
  <si>
    <t>Инструменты управления реал. муницип.функций...:Моногр./ А.И.Абдряшитова-М.:НИЦ ИНФРА-М,2024-251с(П)</t>
  </si>
  <si>
    <t>ИНСТРУМЕНТЫ УПРАВЛЕНИЯ РЕАЛИЗАЦИЕЙ МУНИЦИПАЛЬНЫХ ФУНКЦИЙ В ЭЛЕКТРОННОМ ВИДЕ</t>
  </si>
  <si>
    <t>Абдряшитова А.И., Грачева Е.В., Казаков М.Ю. и др.</t>
  </si>
  <si>
    <t>978-5-16-013276-1</t>
  </si>
  <si>
    <t>38.03.04, 38.04.04, 40.03.01, 44.03.05</t>
  </si>
  <si>
    <t>Российская академия народного хозяйства и государственной службы при Президенте РФ, Владимирский ф-л</t>
  </si>
  <si>
    <t>846635.01.01</t>
  </si>
  <si>
    <t>Инструменты цифровой экономики: Моногр. / Е.В.Попов. - М.:НИЦ ИНФРА-М,2025. - 254 с.(Науч.мысль)(п)</t>
  </si>
  <si>
    <t>ИНСТРУМЕНТЫ ЦИФРОВОЙ ЭКОНОМИКИ</t>
  </si>
  <si>
    <t>Попов Е.В., Веретенникова А.Ю., Семячков К.А. и др.</t>
  </si>
  <si>
    <t>978-5-16-020702-5</t>
  </si>
  <si>
    <t>38.04.01, 38.04.02, 38.04.05, 38.04.08, 38.05.01, 38.06.01</t>
  </si>
  <si>
    <t>Российская академия народного хозяйства и государственной службы при Президенте РФ, ф-л Уральский институт управления</t>
  </si>
  <si>
    <t>АКАДЕМУС-2024, Победитель, II место</t>
  </si>
  <si>
    <t>741791.05.01</t>
  </si>
  <si>
    <t>Интеграционный конституционализм: Монография / С.Н.Бабурин - М.:Юр.Норма, НИЦ ИНФРА-М,2025 - 264 с.(П)</t>
  </si>
  <si>
    <t>ИНТЕГРАЦИОННЫЙ КОНСТИТУЦИОНАЛИЗМ</t>
  </si>
  <si>
    <t>Бабурин С.Н.</t>
  </si>
  <si>
    <t>978-5-00156-092-0</t>
  </si>
  <si>
    <t>40.03.01, 40.05.01, 40.05.02, 40.05.03, 40.06.01</t>
  </si>
  <si>
    <t>164450.04.01</t>
  </si>
  <si>
    <t>Интеграция и коммун. как векторы соц.динамики: Моногр. /И.А.Савченко -М.:ИЦ РИОР,ИНФРА-М,2017-201с(О)</t>
  </si>
  <si>
    <t>ИНТЕГРАЦИЯ И КОММУНИКАЦИЯ КАК ВЕКТОРЫ СОЦИОКУЛЬТУРНОЙ ДИНАМИКИ</t>
  </si>
  <si>
    <t>Савченко И. А.</t>
  </si>
  <si>
    <t>978-5-369-00973-4</t>
  </si>
  <si>
    <t>51.03.01, 51.03.03, 51.04.01, 51.04.03, 51.06.01</t>
  </si>
  <si>
    <t>411700.07.01</t>
  </si>
  <si>
    <t>Интеграция, сотруд. и разв. на постсовет..: Моногр. / Е.Д.Халевинская - М.:Магистр,НИЦ ИНФРА-М,2023-200с(О)</t>
  </si>
  <si>
    <t>ИНТЕГРАЦИЯ, СОТРУДНИЧЕСТВО И РАЗВИТИЕ НА ПОСТСОВЕТСКОМ ПРОСТРАНСТВЕ</t>
  </si>
  <si>
    <t>Халевинская Е. Д.</t>
  </si>
  <si>
    <t>978-5-9776-0248-8</t>
  </si>
  <si>
    <t>38.03.01, 38.03.04, 38.04.01, 38.04.04</t>
  </si>
  <si>
    <t>729533.02.01</t>
  </si>
  <si>
    <t>Интегрированная система управ. качеством на предпр...: Моногр. / Е.С.Григорян-М.:НИЦ ИНФРА-М,2024-162с.(О)</t>
  </si>
  <si>
    <t>ИНТЕГРИРОВАННАЯ СИСТЕМА УПРАВЛЕНИЯ КАЧЕСТВОМ НА ПРЕДПРИЯТИЯХ ОБОРОННО-ПРОМЫШЛЕННОГО КОМПЛЕКСА</t>
  </si>
  <si>
    <t>Григорян Е.С.</t>
  </si>
  <si>
    <t>978-5-16-016304-8</t>
  </si>
  <si>
    <t>27.04.01, 27.04.02, 27.04.03, 27.04.04, 27.04.05, 27.04.06, 27.04.07, 27.06.01, 38.04.01, 38.04.02, 38.06.01</t>
  </si>
  <si>
    <t>Военная академия материально-технического обеспечения им. генерала армии А.В. Хрулёва, ф-л г. Пенза</t>
  </si>
  <si>
    <t>681923.04.01</t>
  </si>
  <si>
    <t>Интегрированный учет в сис. управ. предпр.: Моногр. / В.Б.Ивашкевич-М.:Магистр, НИЦ ИНФРА-М,2023.-124с(О)</t>
  </si>
  <si>
    <t>ИНТЕГРИРОВАННЫЙ УЧЕТ В СИСТЕМЕ УПРАВЛЕНИЯ ПРЕДПРИЯТИЕМ</t>
  </si>
  <si>
    <t>Ивашкевич В.Б.</t>
  </si>
  <si>
    <t>978-5-9776-0476-5</t>
  </si>
  <si>
    <t>38.03.01, 38.03.02, 38.03.06, 38.03.07, 38.04.01, 38.04.02, 38.04.03, 38.04.06, 38.04.07, 38.04.08, 38.04.09, 38.05.01, 38.05.02</t>
  </si>
  <si>
    <t>742795.06.01</t>
  </si>
  <si>
    <t>Интеллектуальная собств. в совр. экономике...: Моногр. / В.И.Мухопад - М.: НИЦ ИНФРА-М,2026 - 624 с.(П)</t>
  </si>
  <si>
    <t>ИНТЕЛЛЕКТУАЛЬНАЯ СОБСТВЕННОСТЬ В СОВРЕМЕННОЙ ЭКОНОМИКЕ: СИСТЕМА И ЕЕ СИНЕРГЕТИКА</t>
  </si>
  <si>
    <t>Мухопад В.И.</t>
  </si>
  <si>
    <t>978-5-16-016459-5</t>
  </si>
  <si>
    <t>Дополнительное образование / Дополнительное образование взрослых</t>
  </si>
  <si>
    <t>27.04.07, 38.03.01, 38.04.01, 38.06.01, 40.04.01, 40.06.01</t>
  </si>
  <si>
    <t>376700.08.01</t>
  </si>
  <si>
    <t>Интеллектуальная собств.: эскизы общей теории: Моногр. / А.М.Орехов - М.:НИЦ ИНФРА-М,2025. - 160 с.(О)</t>
  </si>
  <si>
    <t>ИНТЕЛЛЕКТУАЛЬНАЯ СОБСТВЕННОСТЬ: ЭСКИЗЫ ОБЩЕЙ ТЕОРИИ</t>
  </si>
  <si>
    <t>Орехов А.М.</t>
  </si>
  <si>
    <t>978-5-16-010904-6</t>
  </si>
  <si>
    <t>06.03.02, 39.03.01, 39.04.01, 40.03.01, 40.04.01, 47.03.01, 47.04.01</t>
  </si>
  <si>
    <t>330400.06.01</t>
  </si>
  <si>
    <t>Интенсификация гидродинам. и тепловых..: Моногр. /Ю.В. Светлов -М.: НИЦ ИНФРА-М, 2024 -304с (о)</t>
  </si>
  <si>
    <t>ИНТЕНСИФИКАЦИЯ ГИДРОДИНАМИЧЕСКИХ И ТЕПЛОВЫХ ПРОЦЕССОВ В АППАРАТАХ С ТУРБУЛИЗАТОРАМИ ПОТОКА: ТЕОРИЯ, ЭКСПЕРИМЕНТ, МЕТОДЫ РАСЧЕТА</t>
  </si>
  <si>
    <t>Светлов Ю.В.</t>
  </si>
  <si>
    <t>978-5-16-010607-6</t>
  </si>
  <si>
    <t>13.03.01, 13.04.01, 13.05.01</t>
  </si>
  <si>
    <t>455100.14.01</t>
  </si>
  <si>
    <t>Интернет вещей. Исслед. и область применения: Моногр. / Е.П.Зараменских - М.:НИЦ ИНФРА-М,2026 - 188 с.(о)</t>
  </si>
  <si>
    <t>ИНТЕРНЕТ ВЕЩЕЙ. ИССЛЕДОВАНИЯ И ОБЛАСТЬ ПРИМЕНЕНИЯ</t>
  </si>
  <si>
    <t>Зараменских Е.П., Артемьев И.Е.</t>
  </si>
  <si>
    <t>978-5-16-019914-6</t>
  </si>
  <si>
    <t>09.03.01</t>
  </si>
  <si>
    <t>773687.02.01</t>
  </si>
  <si>
    <t>Интерпол в сис. международного сотрудничества по...: Моногр. / Ю.В.Пузырева-М.:НИЦ ИНФРА-М,2024.-207 с.(О)</t>
  </si>
  <si>
    <t>ИНТЕРПОЛ В СИСТЕМЕ МЕЖДУНАРОДНОГО СОТРУДНИЧЕСТВА ПО ПРОТИВОДЕЙСТВИЮ ТРАНСНАЦИОНАЛЬНОЙ ОРГАНИЗОВАННОЙ ПРЕСТУПНОСТИ</t>
  </si>
  <si>
    <t>Пузырева Ю.В.</t>
  </si>
  <si>
    <t>978-5-16-017490-7</t>
  </si>
  <si>
    <t>40.04.01, 40.05.01</t>
  </si>
  <si>
    <t>853702.01.01</t>
  </si>
  <si>
    <t>Интерпол: институционные и угол.-процес. аспекты деят.: Моногр. / В.И.Самарин - М.:НИЦ ИНФРА-М,2026. - 367 с.(п)</t>
  </si>
  <si>
    <t>ИНТЕРПОЛ: ИНСТИТУЦИОННЫЕ И УГОЛОВНО-ПРОЦЕССУАЛЬНЫЕ АСПЕКТЫ ДЕЯТЕЛЬНОСТИ</t>
  </si>
  <si>
    <t>Самарин В.И.</t>
  </si>
  <si>
    <t>978-5-16-021218-0</t>
  </si>
  <si>
    <t>40.04.01, 40.05.01, 40.05.02, 40.06.01</t>
  </si>
  <si>
    <t>674330.03.01</t>
  </si>
  <si>
    <t>Интерпретация худ.текста: русско-исп. диалог: Моногр./ О.С.Чеснокова - М.:НИЦ ИНФРА-М,2022 - 174с(О)</t>
  </si>
  <si>
    <t>ИНТЕРПРЕТАЦИЯ ХУДОЖЕСТВЕННОГО ТЕКСТА: РУССКО-ИСПАНСКИЙ ДИАЛОГ</t>
  </si>
  <si>
    <t>Чеснокова О.С.</t>
  </si>
  <si>
    <t>978-5-16-013840-4</t>
  </si>
  <si>
    <t>41.03.06, 42.03.02, 44.03.01, 44.03.05, 45.03.01, 45.04.01, 45.05.01</t>
  </si>
  <si>
    <t>420050.10.01</t>
  </si>
  <si>
    <t>Инфаркт миокарда у женщин: Моногр. / А.Д.Куимов - М.: НИЦ ИНФРА-М, 2025 - 126 с.(Науч. мысль) (о)</t>
  </si>
  <si>
    <t>ИНФАРКТ МИОКАРДА У ЖЕНЩИН</t>
  </si>
  <si>
    <t>Куимов А. Д.</t>
  </si>
  <si>
    <t>978-5-16-006540-3</t>
  </si>
  <si>
    <t>31.05.01, 31.06.01, 31.07.01, 31.08.36</t>
  </si>
  <si>
    <t>706824.06.01</t>
  </si>
  <si>
    <t>Информационная безоп. и защита информации..: Моногр. / И.С.Клименко - М.:НИЦ ИНФРА-М,2026 - 180 с.(О)</t>
  </si>
  <si>
    <t>ИНФОРМАЦИОННАЯ БЕЗОПАСНОСТЬ И ЗАЩИТА ИНФОРМАЦИИ: МОДЕЛИ И МЕТОДЫ УПРАВЛЕНИЯ</t>
  </si>
  <si>
    <t>Клименко И.С.</t>
  </si>
  <si>
    <t>978-5-16-015149-6</t>
  </si>
  <si>
    <t>10.04.01, 10.06.01, 27.04.03, 38.04.05</t>
  </si>
  <si>
    <t>Северо-Кавказский федеральный университет, ф-л в г. Пятигорске</t>
  </si>
  <si>
    <t>434150.03.01</t>
  </si>
  <si>
    <t>Информационная поддерж.принятия..: Науч.-практ.пос./А.В.Затонский-М.:ИЦ РИОР,НИЦ ИНФРА-М,2020-333(о)</t>
  </si>
  <si>
    <t>ИНФОРМАЦИОННАЯ ПОДДЕРЖКА ПРИНЯТИЯ РЕШЕНИЙ ПРИ УПРАВЛЕНИИ ФИЛИАЛОМ ВУЗА</t>
  </si>
  <si>
    <t>Затонский А. В., Варламова С. А., Измайлова Е. В.</t>
  </si>
  <si>
    <t>978-5-369-01201-7</t>
  </si>
  <si>
    <t>27.03.05</t>
  </si>
  <si>
    <t>Пермский национальный исследовательский политехнический университет, Березниковский ф-л</t>
  </si>
  <si>
    <t>660198.05.01</t>
  </si>
  <si>
    <t>Информационно-измер. подходы для оценки качества тех.: Моногр./ В.Н.Яшин-М.:НИЦ ИНФРА-М,2024-120с(о)</t>
  </si>
  <si>
    <t>ИНФОРМАЦИОННО-ИЗМЕРИТЕЛЬНЫЕ ПОДХОДЫ ДЛЯ ОЦЕНКИ КАЧЕСТВА ТЕХНИЧЕСКИХ СРЕДСТВ  ХРОНОМЕТРИИ</t>
  </si>
  <si>
    <t>Яшин В.Н.</t>
  </si>
  <si>
    <t>978-5-16-013022-4</t>
  </si>
  <si>
    <t>09.03.01, 09.03.02, 09.04.01, 09.04.02</t>
  </si>
  <si>
    <t>Самарский государственный технический университет</t>
  </si>
  <si>
    <t>733158.01.01</t>
  </si>
  <si>
    <t>Информационно-коммуникац. концепция теории бух. уч. / М.Д.Акатьева - М.:НИЦ ИНФРА-М,2020-162 с.(О)</t>
  </si>
  <si>
    <t>ИНФОРМАЦИОННО-КОММУНИКАЦИОННАЯ КОНЦЕПЦИЯ ТЕОРИИ БУХГАЛТЕРСКОГО УЧЕТА</t>
  </si>
  <si>
    <t>Акатьева М.Д.</t>
  </si>
  <si>
    <t>978-5-16-016080-1</t>
  </si>
  <si>
    <t>38.04.01, 38.04.08, 38.06.01</t>
  </si>
  <si>
    <t>Московский политехнический университет</t>
  </si>
  <si>
    <t>706348.03.01</t>
  </si>
  <si>
    <t>Информационно-сетевая география: Моногр. / В.И.Блануца-М.:НИЦ ИНФРА-М,2023.-243 с..-(Науч.мысль)(П)</t>
  </si>
  <si>
    <t>ИНФОРМАЦИОННО-СЕТЕВАЯ ГЕОГРАФИЯ</t>
  </si>
  <si>
    <t>978-5-16-015138-0</t>
  </si>
  <si>
    <t>05.04.02</t>
  </si>
  <si>
    <t>335800.08.01</t>
  </si>
  <si>
    <t>Информационно-сетевая экономика...: Моногр. / С.А.Дятлов - М.:НИЦ ИНФРА-М,2022 - 414с.(Науч.мысль)(О)</t>
  </si>
  <si>
    <t>ИНФОРМАЦИОННО-СЕТЕВАЯ ЭКОНОМИКА: СТРУКТУРА, ДИНАМИКА, РЕГУЛИРОВАНИЕ</t>
  </si>
  <si>
    <t>Дятлов С.А., Марьяненко В.П., Селищева Т.А.</t>
  </si>
  <si>
    <t>978-5-16-010676-2</t>
  </si>
  <si>
    <t>38.03.01, 38.03.02, 38.03.04, 38.04.01, 38.04.02, 38.04.04, 38.05.01, 40.03.01, 44.03.01, 44.03.05</t>
  </si>
  <si>
    <t>670210.04.01</t>
  </si>
  <si>
    <t>Информационно-статистические методы решения эконометр...: Моногр. / С.В.Юдин-М:НИЦ ИНФРА-М,2022-199с</t>
  </si>
  <si>
    <t>ИНФОРМАЦИОННО-СТАТИСТИЧЕСКИЕ МЕТОДЫ РЕШЕНИЯ ЭКОНОМЕТРИЧЕСКИХ, СОЦИОЛОГИЧЕСКИХ И ПСИХОМЕТРИЧЕСКИХ ЗАДАЧ</t>
  </si>
  <si>
    <t>Юдин С.В., Юдин А.С.</t>
  </si>
  <si>
    <t>978-5-16-013475-8</t>
  </si>
  <si>
    <t>38.03.02, 38.03.05, 38.04.01, 38.04.05</t>
  </si>
  <si>
    <t>Российский экономический университет им. Г.В. Плеханова, Тульский ф-л</t>
  </si>
  <si>
    <t>664768.05.01</t>
  </si>
  <si>
    <t>Информационные техн.в моделир.быстропротек.нелинейных проц.../ Гусев А.И.-М.:ИНФРА-М,2023-132с(О)</t>
  </si>
  <si>
    <t>ИНФОРМАЦИОННЫЕ ТЕХНОЛОГИИ В МОДЕЛИРОВАНИИ БЫСТРОПРОТЕКАЮЩИХ НЕЛИНЕЙНЫХ ПРОЦЕССОВ (НА ПРИМЕРЕ ВЗАИМОДЕЙСТВИЯ ПОРАЖАЮЩИХ ЭЛЕМЕНТОВ С БИОТКАНЬЮ)</t>
  </si>
  <si>
    <t>Гусев А.В., Шабанов Г.И., Родионов М.А.</t>
  </si>
  <si>
    <t>978-5-16-013251-8</t>
  </si>
  <si>
    <t>15.02.04, 15.05.01, 17.05.02</t>
  </si>
  <si>
    <t>746606.06.01</t>
  </si>
  <si>
    <t>Информационные технологии в сис. гос. и муниц. упр. / М.А.Данилькевич - М.:Магистр, НИЦ ИНФРА-М,2024-152 с.(П)</t>
  </si>
  <si>
    <t>ИНФОРМАЦИОННЫЕ ТЕХНОЛОГИИ В СИСТЕМЕ ГОСУДАРСТВЕННОГО И МУНИЦИПАЛЬНОГО УПРАВЛЕНИЯ</t>
  </si>
  <si>
    <t>Данилькевич М.А., Сибиряев А.С.</t>
  </si>
  <si>
    <t>978-5-9776-0519-9</t>
  </si>
  <si>
    <t>38.03.04, 38.04.04, 38.06.01</t>
  </si>
  <si>
    <t>700154.01.01</t>
  </si>
  <si>
    <t>Информация и коммуникация в гос. упр.: Моногр. / А.Г.Киселев-М.:НИЦ ИНФРА-М,2019-268с(Науч.мысль)(П)</t>
  </si>
  <si>
    <t>ИНФОРМАЦИЯ И КОММУНИКАЦИЯ В ГОСУДАРСТВЕННОМ УПРАВЛЕНИИ</t>
  </si>
  <si>
    <t>Киселев А.Г., Киричёк П.Н.</t>
  </si>
  <si>
    <t>978-5-16-014753-6</t>
  </si>
  <si>
    <t>38.03.04, 38.04.04, 41.03.06</t>
  </si>
  <si>
    <t>311500.04.01</t>
  </si>
  <si>
    <t>Инфраструктура инноваций и малые предпр..: Моногр. / В.Я.Вилисов - М.:ИЦ РИОР,НИЦ ИНФРА-М,2022 - 228с(о)</t>
  </si>
  <si>
    <t>ИНФРАСТРУКТУРА ИННОВАЦИЙ И МАЛЫЕ ПРЕДПРИЯТИЯ: СОСТОЯНИЕ, ОЦЕНКИ, МОДЕЛИРОВАНИЕ</t>
  </si>
  <si>
    <t>Вилисов В.Я, Вилисова А.В.</t>
  </si>
  <si>
    <t>978-5-369-01395-3</t>
  </si>
  <si>
    <t>38.03.01, 38.03.02, 38.04.01, 38.04.02, 38.06.01</t>
  </si>
  <si>
    <t>779237.02.01</t>
  </si>
  <si>
    <t>Иные мы: Монография / С.В.Борзых-М.:НИЦ ИНФРА-М,2024.-219 с.(Науч.мысль)(О)</t>
  </si>
  <si>
    <t>ИНЫЕ МЫ</t>
  </si>
  <si>
    <t>978-5-16-017741-0</t>
  </si>
  <si>
    <t>724876.05.01</t>
  </si>
  <si>
    <t>Искусственный разум, правовая сис. и функции гос.: Моногр. / А.Г.Братко-М.:НИЦ ИНФРА-М,2024-282 с.(О)</t>
  </si>
  <si>
    <t>ИСКУССТВЕННЫЙ РАЗУМ, ПРАВОВАЯ СИСТЕМА И ФУНКЦИИ ГОСУДАРСТВА</t>
  </si>
  <si>
    <t>Братко А.Г.</t>
  </si>
  <si>
    <t>978-5-16-015890-7</t>
  </si>
  <si>
    <t>648375.07.01</t>
  </si>
  <si>
    <t>Искусство и методол. соц.-гуман. познания: Моногр. / Н.Ф.Бучило - М.:Юр.Норма,НИЦ ИНФРА-М,2025 - 240 с.(П)</t>
  </si>
  <si>
    <t>ИСКУССТВО И МЕТОДОЛОГИЯ СОЦИАЛЬНО-ГУМАНИТАРНОГО ПОЗНАНИЯ</t>
  </si>
  <si>
    <t>Бучило Н.Ф.</t>
  </si>
  <si>
    <t>978-5-91768-802-2</t>
  </si>
  <si>
    <t>46.04.03, 47.04.02, 50.03.01</t>
  </si>
  <si>
    <t>801687.03.01</t>
  </si>
  <si>
    <t>Искушение «большой цифрой»...: Моногр.  / М.Л.Альпидовская - М.:НИЦ ИНФРА-М,2025. - 184 с.(п)</t>
  </si>
  <si>
    <t>ИСКУШЕНИЕ «БОЛЬШОЙ ЦИФРОЙ»: «ИНКЛЮЗИВНЫЙ КАПИТАЛИЗМ», ИЛИ ОБЩЕСТВО ПОСТМОДЕРНА</t>
  </si>
  <si>
    <t>Альпидовская М.Л., Корнилов А.М.</t>
  </si>
  <si>
    <t>978-5-16-018470-8</t>
  </si>
  <si>
    <t>38.03.01, 38.04.01, 38.04.02, 38.04.04, 38.06.01, 39.04.01</t>
  </si>
  <si>
    <t>169800.07.01</t>
  </si>
  <si>
    <t>Искушение Европы. Исторические профили / Т.Д.Валовая - 2 изд. - М.: Магистр:  ИНФРА-М, 2024-576с. (п)</t>
  </si>
  <si>
    <t>ИСКУШЕНИЕ ЕВРОПЫ. ИСТОРИЧЕСКИЕ ПРОФИЛИ, ИЗД.2</t>
  </si>
  <si>
    <t>Валовая Т. Д.</t>
  </si>
  <si>
    <t>978-5-9776-0214-3</t>
  </si>
  <si>
    <t>41.03.01, 46.03.01, 46.04.01</t>
  </si>
  <si>
    <t>765952.03.01</t>
  </si>
  <si>
    <t>Исламские финансы в странах СНГ: Моногр. / А.З.Нагимова - М.:НИЦ ИНФРА-М,2025 - 221 с.(Науч.мысль)(О)</t>
  </si>
  <si>
    <t>ИСЛАМСКИЕ ФИНАНСЫ В СТРАНАХ СНГ: ПРОШЛОЕ И БУДУЩЕЕ</t>
  </si>
  <si>
    <t>978-5-16-017240-8</t>
  </si>
  <si>
    <t>38.04.08, 41.03.05</t>
  </si>
  <si>
    <t>742679.02.01</t>
  </si>
  <si>
    <t>Исламские финансы в странах СНГ: Моногр. / А.З.Нагимова-М.:НИЦ ИНФРА-М,2022.-219 с.(Науч.мысль)(О)</t>
  </si>
  <si>
    <t>ИСЛАМСКИЕ ФИНАНСЫ В СТРАНАХ СНГ</t>
  </si>
  <si>
    <t>978-5-16-016564-6</t>
  </si>
  <si>
    <t>38.03.01, 38.03.02, 38.04.01, 38.04.08, 38.05.01, 38.06.01, 41.03.06</t>
  </si>
  <si>
    <t>793849.02.01</t>
  </si>
  <si>
    <t>Исламские финансы: история и совр.: Моногр. / А.З.Нагимова - М.:НИЦ ИНФРА-М,2025. - 218 с.(Науч.мысль)(п)</t>
  </si>
  <si>
    <t>ИСЛАМСКИЕ ФИНАНСЫ: ИСТОРИЯ И СОВРЕМЕННОСТЬ</t>
  </si>
  <si>
    <t>978-5-16-018196-7</t>
  </si>
  <si>
    <t>38.04.01, 38.06.01, 38.07.02</t>
  </si>
  <si>
    <t>663311.09.01</t>
  </si>
  <si>
    <t>Исламский терроризм: радикализация...: Моногр. / В.В.Желтов, - 2 изд. - М.:НИЦ ИНФРА-М,2025. - 110 с.(о)</t>
  </si>
  <si>
    <t>ИСЛАМСКИЙ ТЕРРОРИЗМ: РАДИКАЛИЗАЦИЯ, РЕКРУТИРОВАНИЕ, ИНДОКТРИНАЦИЯ, ИЗД.2</t>
  </si>
  <si>
    <t>Желтов В.В., Желтов М.В.</t>
  </si>
  <si>
    <t>978-5-16-019840-8</t>
  </si>
  <si>
    <t>37.03.01, 38.03.01, 38.03.03, 38.03.04, 39.03.01, 39.03.03, 39.04.01, 40.03.01, 41.03.05, 41.03.06, 41.04.04, 42.03.02, 44.03.01, 44.03.05, 47.03.01, 51.03.01, 51.03.03</t>
  </si>
  <si>
    <t>801663.03.01</t>
  </si>
  <si>
    <t>Исполнительная власть в сис. гос. упр.: Моногр. / Б.В.Россинский - М.:Юр. НОРМА, НИЦ ИНФРА-М,2026. - 376 с.(п)</t>
  </si>
  <si>
    <t>ИСПОЛНИТЕЛЬНАЯ ВЛАСТЬ В СИСТЕМЕ ГОСУДАРСТВЕННОГО УПРАВЛЕНИЯ</t>
  </si>
  <si>
    <t>978-5-00156-298-6</t>
  </si>
  <si>
    <t>38.03.04, 38.04.04, 38.05.02, 38.06.01, 40.03.01, 40.05.01, 40.05.02, 40.05.03, 40.05.04, 40.06.01, 41.03.04, 41.04.04, 41.06.01</t>
  </si>
  <si>
    <t>796191.03.01</t>
  </si>
  <si>
    <t>Использование спец. знаний при доказывании по делам  о преступл... / А.А.Максуров-М.:НИЦ ИНФРА-М,2024-280с(П)</t>
  </si>
  <si>
    <t>ИСПОЛЬЗОВАНИЕ СПЕЦИАЛЬНЫХ ЗНАНИЙ ПРИ ДОКАЗЫВАНИИ ПО ДЕЛАМ  О ПРЕСТУПЛЕНИЯХ И ПРАВОНАРУШЕНИЯХ В СЕТИ ИНТЕРНЕТ</t>
  </si>
  <si>
    <t>978-5-16-018181-3</t>
  </si>
  <si>
    <t>10.05.03, 10.05.04, 10.05.05, 10.06.01, 38.04.05, 38.05.02, 40.04.01, 40.05.02, 40.05.04, 40.06.01, 56.04.01</t>
  </si>
  <si>
    <t>461800.06.01</t>
  </si>
  <si>
    <t>Исследование аэродинамики автомобиля: Моногр./ В.В.Бернацкий-М.:НИЦ ИНФРА-М,2024-256с(Науч.мысль)(П)</t>
  </si>
  <si>
    <t>ИССЛЕДОВАНИЕ АЭРОДИНАМИКИ АВТОМОБИЛЯ</t>
  </si>
  <si>
    <t>Бернацкий В.В., Острецов А.В.</t>
  </si>
  <si>
    <t>978-5-16-016667-4</t>
  </si>
  <si>
    <t>23.03.03, 23.04.02, 23.04.03, 23.05.01, 23.06.01</t>
  </si>
  <si>
    <t>128290.07.01</t>
  </si>
  <si>
    <t>Исследование методол.оценки и анализ..: Моногр. / В.М.Аньшин-М.:НИЦ ИНФРА-М,2022-200с(Науч.мысль)(О)</t>
  </si>
  <si>
    <t>ИССЛЕДОВАНИЕ МЕТОДОЛОГИИ ОЦЕНКИ И АНАЛИЗ ЗРЕЛОСТИ УПРАВЛЕНИЯ ПОРТФЕЛЯМИ ПРОЕКТОВ В РОССИЙСКИХ КОМПАНИЯХ</t>
  </si>
  <si>
    <t>Аньшин В. М., Ильина О. Н.</t>
  </si>
  <si>
    <t>978-5-16-004146-9</t>
  </si>
  <si>
    <t>856181.01.01</t>
  </si>
  <si>
    <t>Исследование операций. Задачи, модели и алгоритмы: Моногр. / А.Н.Божко - М.:НИЦ ИНФРА-М,2026. - 297 с.(п)</t>
  </si>
  <si>
    <t>ИССЛЕДОВАНИЕ ОПЕРАЦИЙ. ЗАДАЧИ, МОДЕЛИ И АЛГОРИТМЫ</t>
  </si>
  <si>
    <t>Божко А.Н., Родионов С.В.</t>
  </si>
  <si>
    <t>978-5-16-021171-8</t>
  </si>
  <si>
    <t>01.03.02, 01.03.04, 01.04.04, 09.04.03, 09.06.01</t>
  </si>
  <si>
    <t>727992.01.01</t>
  </si>
  <si>
    <t>Исследование процесса забивки свай и штампов на моделях / И.И.Бекбасаров, - 2 изд.-М.:НИЦ ИНФРА-М,2021.-195 с..-(О)</t>
  </si>
  <si>
    <t>ИССЛЕДОВАНИЕ ПРОЦЕССА ЗАБИВКИ СВАЙ И ШТАМПОВ НА МОДЕЛЯХ, ИЗД.2</t>
  </si>
  <si>
    <t>Бекбасаров И.И.</t>
  </si>
  <si>
    <t>978-5-16-015990-4</t>
  </si>
  <si>
    <t>08.03.01, 08.04.01, 08.06.01</t>
  </si>
  <si>
    <t>Таразский государственный университет им. М.Х. Дулати</t>
  </si>
  <si>
    <t>737947.05.01</t>
  </si>
  <si>
    <t>Исследования характеристик каналов связи: Моногр. / И.Б.Широков - М.:НИЦ ИНФРА-М,2025 - 247 с.-(О)</t>
  </si>
  <si>
    <t>ИССЛЕДОВАНИЯ ХАРАКТЕРИСТИК КАНАЛОВ СВЯЗИ</t>
  </si>
  <si>
    <t>Широков И.Б., Гимпилевич Ю.Б., Сердюк И.В.</t>
  </si>
  <si>
    <t>978-5-16-016288-1</t>
  </si>
  <si>
    <t>11.03.01, 11.04.01, 11.04.02, 11.06.01</t>
  </si>
  <si>
    <t>117950.07.01</t>
  </si>
  <si>
    <t>Исследовательские университеты США / Под ред. В.Б. Супяна - М.: Магистр, 2023 - 399 с. (п)</t>
  </si>
  <si>
    <t>ИССЛЕДОВАТЕЛЬСКИЕ УНИВЕРСИТЕТЫ США</t>
  </si>
  <si>
    <t>Супян В. Б.</t>
  </si>
  <si>
    <t>978-5-9776-0120-7</t>
  </si>
  <si>
    <t>44.03.01, 44.03.02, 44.04.01, 44.04.02, 44.04.04</t>
  </si>
  <si>
    <t>Институт США и Канады Российской академии наук</t>
  </si>
  <si>
    <t>734288.06.01</t>
  </si>
  <si>
    <t>Исследовательский интеллект, решающий педагогич. пробл. / А.В.Коржуев-М.:НИЦ ИНФРА-М,2024.-193 с.(О)</t>
  </si>
  <si>
    <t>ИССЛЕДОВАТЕЛЬСКИЙ ИНТЕЛЛЕКТ, РЕШАЮЩИЙ ПЕДАГОГИЧЕСКИЕ ПРОБЛЕМЫ</t>
  </si>
  <si>
    <t>Коржуев А.В., Никитина Э.К.</t>
  </si>
  <si>
    <t>978-5-16-016196-9</t>
  </si>
  <si>
    <t>778278.04.01</t>
  </si>
  <si>
    <t>Истоки и основы философии: курс лекций / Ф.А.Тригубенко - М.:НИЦ ИНФРА-М,2025. - 144 с.(ВО.)(О)</t>
  </si>
  <si>
    <t>ИСТОКИ И ОСНОВЫ ФИЛОСОФИИ</t>
  </si>
  <si>
    <t>Тригубенко Ф.А.</t>
  </si>
  <si>
    <t>Высшее образование</t>
  </si>
  <si>
    <t>978-5-16-017691-8</t>
  </si>
  <si>
    <t>00.03.11</t>
  </si>
  <si>
    <t>706233.02.01</t>
  </si>
  <si>
    <t>Историко-географ. особ. традиц. природопол. в жизнеобеспечении...: Моногр./ С.А.Козлова -М.ИНФРА-М,2024-194с.(О)</t>
  </si>
  <si>
    <t>ИСТОРИКО-ГЕОГРАФИЧЕСКИЕ ОСОБЕННОСТИ ТРАДИЦИОННОГО ПРИРОДОПОЛЬЗОВАНИЯ В ЖИЗНЕОБЕСПЕЧЕНИИ СТАРООБРЯДЦЕВ ЗАПАДНОГО ЗАБАЙКАЛЬЯ</t>
  </si>
  <si>
    <t>Козлова С.А.</t>
  </si>
  <si>
    <t>978-5-16-015085-7</t>
  </si>
  <si>
    <t>05.04.06, 05.06.01, 46.06.01, 51.04.01, 51.06.01</t>
  </si>
  <si>
    <t>ФГБУ "Заповедное Прибайкалье"</t>
  </si>
  <si>
    <t>668312.06.01</t>
  </si>
  <si>
    <t>Историко-географ.особен.формир. этнокультур.ландш..:Моногр./Л.С.Цыдыпова-М.:НИЦ ИНФРА-М,2025-156с(О)</t>
  </si>
  <si>
    <t>ИСТОРИКО-ГЕОГРАФИЧЕСКИЕ ОСОБЕННОСТИ ФОРМИРОВАНИЯ ЭТНОКУЛЬТУРНОГО ЛАНДШАФТА БАРГУЗИНСКОГО ПРИБАЙКАЛЬЯ</t>
  </si>
  <si>
    <t>Цыдыпова Л.С.</t>
  </si>
  <si>
    <t>978-5-16-013282-2</t>
  </si>
  <si>
    <t>51.03.01, 51.03.02, 51.04.02</t>
  </si>
  <si>
    <t>659175.02.01</t>
  </si>
  <si>
    <t>Историческая динамика соц. структуры рос. общества: Моногр. / А.И.Кравченко-М.:НИЦ ИНФРА-М,2020-376с</t>
  </si>
  <si>
    <t>ИСТОРИЧЕСКАЯ ДИНАМИКА СОЦИАЛЬНОЙ СТРУКТУРЫ РОССИЙСКОГО ОБЩЕСТВА</t>
  </si>
  <si>
    <t>Кравченко А.И.</t>
  </si>
  <si>
    <t>978-5-16-013766-7</t>
  </si>
  <si>
    <t>00.03.10, 44.03.01, 44.03.05</t>
  </si>
  <si>
    <t>657960.09.01</t>
  </si>
  <si>
    <t>Исторические основы геополит.потенциала...: Моногр. / Л.О.Терновая - М.:НИЦ ИНФРА-М,2026 - 195 с.(п)</t>
  </si>
  <si>
    <t>ИСТОРИЧЕСКИЕ ОСНОВЫ ГЕОПОЛИТИЧЕСКОГО ПОТЕНЦИАЛА РОССИЙСКОГО КАЗАЧЕСТВА</t>
  </si>
  <si>
    <t>978-5-16-012889-4</t>
  </si>
  <si>
    <t>41.04.02, 46.03.02, 46.04.01</t>
  </si>
  <si>
    <t>776802.01.01</t>
  </si>
  <si>
    <t>Исторические портреты эпохи Американской революции XVIII в. / М.А.Филимонова-М.:НИЦ ИНФРА-М,2023.-291 с.(О)</t>
  </si>
  <si>
    <t>ИСТОРИЧЕСКИЕ ПОРТРЕТЫ ЭПОХИ АМЕРИКАНСКОЙ РЕВОЛЮЦИИ XVIII ВЕКА</t>
  </si>
  <si>
    <t>Филимонова М.А.</t>
  </si>
  <si>
    <t>978-5-16-017686-4</t>
  </si>
  <si>
    <t>41.03.01, 41.03.05, 41.06.01</t>
  </si>
  <si>
    <t>651840.03.01</t>
  </si>
  <si>
    <t>История  разв.форм  орг.уч.проц.в высш.шк.Китая(с н.ХХ в.до1960-х гг):/М.Ху-М.:НИЦ ИНФРА-М,2020-110с(П)</t>
  </si>
  <si>
    <t>ИСТОРИЯ  РАЗВИТИЯ  ФОРМ  ОРГАНИЗАЦИИ УЧЕБНОГО ПРОЦЕССА В ВЫСШЕЙ ШКОЛЕ  КИТАЯ  (С НАЧАЛА  ХХ В. ДО 1960-Х ГГ.)</t>
  </si>
  <si>
    <t>Ху М., Карнаух Н.В.</t>
  </si>
  <si>
    <t>978-5-16-012752-1</t>
  </si>
  <si>
    <t>39.04.02, 44.03.01, 44.03.02, 44.03.05, 44.04.01, 44.04.02, 51.03.02, 51.04.02</t>
  </si>
  <si>
    <t>768230.01.01</t>
  </si>
  <si>
    <t>История активной педагогики: Монография / В.Н.Кругликов.-М.:НИЦ ИНФРА-М,2022.-612 с.(Науч.мысль)(П)</t>
  </si>
  <si>
    <t>ИСТОРИЯ АКТИВНОЙ ПЕДАГОГИКИ</t>
  </si>
  <si>
    <t>Кругликов В.Н., Гулк Е.Б., Захаров К.П.</t>
  </si>
  <si>
    <t>978-5-16-017508-9</t>
  </si>
  <si>
    <t>44.03.01, 44.03.05</t>
  </si>
  <si>
    <t>825533.01.01</t>
  </si>
  <si>
    <t>История ветеринарного законодат. России в XVIII - XX в.: Моногр./В.И.Колесников -М.:НИЦ ИНФРА-М,2024-295 с.(о)</t>
  </si>
  <si>
    <t>ИСТОРИЯ ВЕТЕРИНАРНОГО ЗАКОНОДАТЕЛЬСТВА РОССИИ В XVIII - НАЧАЛЕ XX В.</t>
  </si>
  <si>
    <t>Колесников В.И., Свечникова Л.Г., Колесникова В.В.</t>
  </si>
  <si>
    <t>978-5-16-019859-0</t>
  </si>
  <si>
    <t>36.04.01, 36.04.02, 36.05.01, 36.06.01, 40.04.01, 40.06.01</t>
  </si>
  <si>
    <t>Ставропольский государственный аграрный университет</t>
  </si>
  <si>
    <t>636232.08.01</t>
  </si>
  <si>
    <t>История дознания полиции России: Моногр. / М.А.Маков - М.:НИЦ ИНФРА-М,2025 - 576 с.(Науч.мысль)(П)</t>
  </si>
  <si>
    <t>ИСТОРИЯ ДОЗНАНИЯ ПОЛИЦИИ РОССИИ</t>
  </si>
  <si>
    <t>Маков М.А.</t>
  </si>
  <si>
    <t>978-5-16-012152-9</t>
  </si>
  <si>
    <t>776954.02.01</t>
  </si>
  <si>
    <t>История изуч. старообрядческого духовного стиха: Моногр. / Н.С.Мурашова-М.:НИЦ ИНФРА-М,2024.-176 с.(О)</t>
  </si>
  <si>
    <t>ИСТОРИЯ ИЗУЧЕНИЯ СТАРООБРЯДЧЕСКОГО ДУХОВНОГО СТИХА В КОНТЕКСТЕ ИССЛЕДОВАНИЯ ХУДОЖЕСТВЕННОЙ СИСТЕМЫ ВНЕБОГОСЛУЖЕБНОГО ДУХОВНОГО ПЕНИЯ</t>
  </si>
  <si>
    <t>Мурашова Н.С.</t>
  </si>
  <si>
    <t>978-5-16-017690-1</t>
  </si>
  <si>
    <t>45.03.01, 45.04.01, 48.03.01, 48.04.01, 51.04.01, 53.04.06, 53.05.05</t>
  </si>
  <si>
    <t>Новосибирский государственный педагогический университет</t>
  </si>
  <si>
    <t>758839.01.01</t>
  </si>
  <si>
    <t>История концепции социального рыноч. хоз. в Германии: Моногр. / Н.Гольдшмидт, -М.:НИЦ ИНФРА-М,2022-212 с.(Науч.мысль)(П)</t>
  </si>
  <si>
    <t>ИСТОРИЯ КОНЦЕПЦИИ СОЦИАЛЬНОГО РЫНОЧНОГО ХОЗЯЙСТВА В ГЕРМАНИИ</t>
  </si>
  <si>
    <t>Гольдшмидт Н., Невский С.И., Покидченко М.Г. и др.</t>
  </si>
  <si>
    <t>978-5-16-017090-9</t>
  </si>
  <si>
    <t>00.03.13, 00.05.13, 38.03.01, 38.04.01, 38.06.01</t>
  </si>
  <si>
    <t>845615.03.01</t>
  </si>
  <si>
    <t>История культуры: от Возрождения до модерна.../ Н.С.Креленко - М.:НИЦ ИНФРА-М,2026. - 320 с.[16+](п)</t>
  </si>
  <si>
    <t>ИСТОРИЯ КУЛЬТУРЫ: ОТ ВОЗРОЖДЕНИЯ ДО МОДЕРНА</t>
  </si>
  <si>
    <t>Креленко Н.С.</t>
  </si>
  <si>
    <t>978-5-16-020481-9</t>
  </si>
  <si>
    <t>51.03.01, 51.03.04, 52.02.04, 54.01.20</t>
  </si>
  <si>
    <t>Саратовский государственный университет им. Н.Г. Чернышевского</t>
  </si>
  <si>
    <t>654483.03.01</t>
  </si>
  <si>
    <t>История образования и педагог. мысли: В 3 т.Т.3..: Моногр. / А.Г Чернявский - НИЦ ИНФРА-М,2026-380с.(П)</t>
  </si>
  <si>
    <t>ИСТОРИЯ ОБРАЗОВАНИЯ И ПЕДАГОГИЧЕСКОЙ МЫСЛИ: В 3 ТОМАХ ТОМ 3: ПРАВОВОЕ РЕГУЛИРОВАНИЕ ГОСУДАРСТВЕННОГО КОНТРОЛЯ КАЧЕСТВА ОБРАЗОВАНИЯ, Т.3</t>
  </si>
  <si>
    <t>978-5-16-015407-7</t>
  </si>
  <si>
    <t>652734.06.01</t>
  </si>
  <si>
    <t>История образования и педагог. мысли: Т.1: Моногр. / А.Г.Чернявский - М.:НИЦ ИНФРА-М,2024 - 264 с.(П)</t>
  </si>
  <si>
    <t>ИСТОРИЯ ОБРАЗОВАНИЯ И ПЕДАГОГИЧЕСКОЙ МЫСЛИ, Т.1</t>
  </si>
  <si>
    <t>Чернявский А.Г., Грудцына Л.Ю., Пашенцев Д.А.</t>
  </si>
  <si>
    <t>978-5-16-012649-4</t>
  </si>
  <si>
    <t>44.03.01, 44.03.02, 44.03.03, 44.03.04, 44.03.05, 44.04.01, 44.04.02, 44.04.03, 44.04.04, 44.05.01</t>
  </si>
  <si>
    <t>654482.05.01</t>
  </si>
  <si>
    <t>История образования и педагогической мысли: Т.2: Моногр. / А.Г.Чернявский - М.:НИЦ ИНФРА-М,2026. - 243 с.(П)</t>
  </si>
  <si>
    <t>ИСТОРИЯ ОБРАЗОВАНИЯ И ПЕДАГОГИЧЕСКОЙ МЫСЛИ: ТОМ 2: ТЕОРИЯ, Т.2</t>
  </si>
  <si>
    <t>Чернявский А.Г., Пашенцев Д.А., Грудцына Л.Ю.</t>
  </si>
  <si>
    <t>978-5-16-013179-5</t>
  </si>
  <si>
    <t>682658.03.01</t>
  </si>
  <si>
    <t>История отеч. элитологической мысли: Энц. сл. / Под ред. Карабущенко П.Л.-М.:НИЦ ИНФРА-М,2024.-676 с. (п)</t>
  </si>
  <si>
    <t>ИСТОРИЯ ОТЕЧЕСТВЕННОЙ ЭЛИТОЛОГИЧЕСКОЙ МЫСЛИ</t>
  </si>
  <si>
    <t>Баранов Н.А., Баранов А.В., Бобылев В.В. и др.</t>
  </si>
  <si>
    <t>978-5-16-014656-0</t>
  </si>
  <si>
    <t>00.03.07, 41.04.04, 41.06.01</t>
  </si>
  <si>
    <t>155950.09.01</t>
  </si>
  <si>
    <t>История путешествий. Античная эпоха / И.Ю.Булкин - М.:Форум,2025 - 240 с.(П)</t>
  </si>
  <si>
    <t>ИСТОРИЯ ПУТЕШЕСТВИЙ. АНТИЧНАЯ ЭПОХА</t>
  </si>
  <si>
    <t>Булкин И. Ю.</t>
  </si>
  <si>
    <t>978-5-91134-528-0</t>
  </si>
  <si>
    <t>43.03.02, 43.04.02, 46.03.01, 46.04.01</t>
  </si>
  <si>
    <t>768881.01.01</t>
  </si>
  <si>
    <t>История развития инфокоммуникаций и радиотехнологий на...: Моногр. / П.П.Ермолов-М.:НИЦ ИНФРА-М,2022.-392с(П)</t>
  </si>
  <si>
    <t>ИСТОРИЯ РАЗВИТИЯ ИНФОКОММУНИКАЦИЙ И РАДИОТЕХНОЛОГИЙ НА ЧЕРНОМОРСКОМ ФЛОТЕ И В КРЫМУ (1899-2014 ГГ.)</t>
  </si>
  <si>
    <t>Ермолов П.П.</t>
  </si>
  <si>
    <t>978-5-16-017529-4</t>
  </si>
  <si>
    <t>11.04.01, 11.05.01, 11.06.01</t>
  </si>
  <si>
    <t>846364.02.01</t>
  </si>
  <si>
    <t>История религий России: научно-популяр. изд. / А.Л.Панищев - М.:НИЦ ИНФРА-М,2025. - 175 с.[16+](п)</t>
  </si>
  <si>
    <t>ИСТОРИЯ РЕЛИГИЙ РОССИИ</t>
  </si>
  <si>
    <t>978-5-16-020495-6</t>
  </si>
  <si>
    <t>00.03.04, 00.03.11, 00.05.04, 00.05.11, 46.03.01, 47.03.01, 47.03.03</t>
  </si>
  <si>
    <t>632475.05.01</t>
  </si>
  <si>
    <t>История рос. эконом.науки ХIХ-ХХ вв.: Моногр. / Ю.Н.Егоров - М .:НИЦ ИНФРА-М,2024 - 232с.(Науч.мысль)(П)</t>
  </si>
  <si>
    <t>ИСТОРИЯ РОССИЙСКОЙ ЭКОНОМИЧЕСКОЙ НАУКИ ХIХ-ХХ ВВ.</t>
  </si>
  <si>
    <t>Егоров Ю.Н.</t>
  </si>
  <si>
    <t>978-5-16-011991-5</t>
  </si>
  <si>
    <t>38.03.01, 44.03.01, 44.03.05</t>
  </si>
  <si>
    <t>Московский региональный социально-экономический институт</t>
  </si>
  <si>
    <t>846320.04.01</t>
  </si>
  <si>
    <t>История российского казачества: Научно-поп. изд. / Л.О.Терновая - М.:НИЦ ИНФРА-М,2026 - 333 с. [16+](п)</t>
  </si>
  <si>
    <t>ИСТОРИЯ РОССИЙСКОГО КАЗАЧЕСТВА</t>
  </si>
  <si>
    <t>978-5-16-020492-5</t>
  </si>
  <si>
    <t>41.03.02, 44.03.01, 44.03.05, 46.03.01, 46.04.01</t>
  </si>
  <si>
    <t>808629.01.01</t>
  </si>
  <si>
    <t>История русского литературного языка...: Моногр./ Н.В.Халина - М.:НИЦ ИНФРА-М,2025. - 362 с.(Науч.мысль)(п)</t>
  </si>
  <si>
    <t>ИСТОРИЯ РУССКОГО ЛИТЕРАТУРНОГО ЯЗЫКА: ЯЗЫКОВОЕ СУЩЕСТВОВАНИЕ РОССИИ X-XXI ВЕКОВ</t>
  </si>
  <si>
    <t>Халина Н.В.</t>
  </si>
  <si>
    <t>978-5-16-018878-2</t>
  </si>
  <si>
    <t>45.04.01, 45.04.03, 45.06.01</t>
  </si>
  <si>
    <t>450050.09.01</t>
  </si>
  <si>
    <t>История русской эконом.мысли в ХХ в.: Моногр. / К.А.Смирнов - М.:НИЦ ИНФРА-М,2024 - 263 с.(Науч.мысль)(о)</t>
  </si>
  <si>
    <t>ИСТОРИЯ РУССКОЙ ЭКОНОМИЧЕСКОЙ МЫСЛИ В ХХ ВЕКЕ</t>
  </si>
  <si>
    <t>Смирнов К.А., Братищев И.М., Братищева Р.В. и др.</t>
  </si>
  <si>
    <t>978-5-16-009796-1</t>
  </si>
  <si>
    <t>38.03.01, 38.03.02, 38.04.01, 38.04.02, 44.03.01, 44.03.05</t>
  </si>
  <si>
    <t>Международный славянский институт</t>
  </si>
  <si>
    <t>821672.01.01</t>
  </si>
  <si>
    <t>История создания и развития национальных парков в США: Моногр./ Т.В.Алентьева-М.:НИЦ ИНФРА-М,2025-382 с.(п)</t>
  </si>
  <si>
    <t>ИСТОРИЯ СОЗДАНИЯ И РАЗВИТИЯ НАЦИОНАЛЬНЫХ ПАРКОВ В США</t>
  </si>
  <si>
    <t>Алентьева Т.В., Малина В.В.</t>
  </si>
  <si>
    <t>978-5-16-019678-7</t>
  </si>
  <si>
    <t>05.03.02, 05.04.06, 05.06.01, 06.04.01, 06.06.01, 35.04.09, 51.03.01, 51.04.04, 51.06.01</t>
  </si>
  <si>
    <t>823416.01.01</t>
  </si>
  <si>
    <t>История становления российской криминалистики: Моногр./ А.А.Бессонов-М.:НИЦ ИНФРА-М,2025-393 с.(Науч.мысль)(п)</t>
  </si>
  <si>
    <t>ИСТОРИЯ СТАНОВЛЕНИЯ РОССИЙСКОЙ КРИМИНАЛИСТИКИ</t>
  </si>
  <si>
    <t>Бессонов А.А., Трунцевский Ю.В., Шмонин А.В.</t>
  </si>
  <si>
    <t>978-5-16-019784-5</t>
  </si>
  <si>
    <t>АКАДЕМУС-2024, Победитель, I место</t>
  </si>
  <si>
    <t>460400.14.01</t>
  </si>
  <si>
    <t>История суда и правосудие: Моногр.: В 9 т.Т.1: Законод. / С.А.Колунтаев - М.:Юр.Норма,НИЦ ИНФРА-М,2026 - 640 с.(П)</t>
  </si>
  <si>
    <t>ИСТОРИЯ СУДА И ПРАВОСУДИЯ В РОССИИ. В 9 Т.</t>
  </si>
  <si>
    <t>Колунтаев С.А., Сырых В.М., Ершов В.В.</t>
  </si>
  <si>
    <t>978-5-91768-688-2</t>
  </si>
  <si>
    <t>40.02.04, 40.03.01, 40.04.01, 40.05.02, 40.06.01</t>
  </si>
  <si>
    <t>Российский государственный университет правосудия, Западно-Сибирский ф-л</t>
  </si>
  <si>
    <t>665680.06.01</t>
  </si>
  <si>
    <t>История суда и правосудия в России, Т. 2: Моногр. / В.М.Сырых-М.:Юр.Норма, НИЦ ИНФРА-М,2024.-688 с.(п)</t>
  </si>
  <si>
    <t>ИСТОРИЯ СУДА И ПРАВОСУДИЯ В РОССИИ, ТОМ 2</t>
  </si>
  <si>
    <t>Сырых В.М.</t>
  </si>
  <si>
    <t>978-5-91768-856-5</t>
  </si>
  <si>
    <t>708107.06.01</t>
  </si>
  <si>
    <t>История суда и правосудия в России. Т.4:Судоустройство../К.П.Краковский-М.:Юр.Норма, НИЦ ИНФРА-М,2026-672с(П)</t>
  </si>
  <si>
    <t>ИСТОРИЯ СУДА И ПРАВОСУДИЯ В РОССИИ. ТОМ 4: СУДОУСТРОЙСТВО И СУДОПРОИЗВОДСТВО В РОССИИ ПЕРИОДА СУДЕБНЫХ РЕФОРМ (1864-1881ГГ), Т.4</t>
  </si>
  <si>
    <t>Краковский К.П.</t>
  </si>
  <si>
    <t>978-5-91768-734-6</t>
  </si>
  <si>
    <t>40.04.01, 40.05.01, 40.05.04, 40.06.01</t>
  </si>
  <si>
    <t>789531.03.01</t>
  </si>
  <si>
    <t>История суда и правосудия в России. Т.8 / Отв.ред.В.В.Ершов-М.:Юр. НОРМА, НИЦ ИНФРА-М,2026.-448 с.(П)</t>
  </si>
  <si>
    <t>ИСТОРИЯ СУДА И ПРАВОСУДИЯ В РОССИИ. Т.8, Т.8</t>
  </si>
  <si>
    <t>Ершов В.В., Аулов В.К., Бурдина Е.В. и др.</t>
  </si>
  <si>
    <t>978-5-00156-268-9</t>
  </si>
  <si>
    <t>40.03.01, 40.04.01, 40.05.03, 40.05.04</t>
  </si>
  <si>
    <t>741190.04.01</t>
  </si>
  <si>
    <t>История суда и правосудия в России: Т. 6: Моногр./ В. М. Сырых - М. : Норма, 2024. — 664 с.(П)</t>
  </si>
  <si>
    <t>ИСТОРИЯ СУДА И ПРАВОСУДИЯ В РОССИИ: ТОМ 6</t>
  </si>
  <si>
    <t>978-5-00156-086-9</t>
  </si>
  <si>
    <t>693973.04.01</t>
  </si>
  <si>
    <t>История суда и правосудия в России: Т.3: Моногр. - М.: Юр. Норма, НИЦ ИНФРА-М,2024 - 672 с.(П)</t>
  </si>
  <si>
    <t>ИСТОРИЯ СУДА И ПРАВОСУДИЯ В РОССИИ. Т. 3</t>
  </si>
  <si>
    <t>978-5-91768-972-2</t>
  </si>
  <si>
    <t>754144.05.01</t>
  </si>
  <si>
    <t>История суда и правосудия в России: Т.7: Моногр.  / Сырых В.М. - М.:Юр.Норма, НИЦ ИНФРА-М, 2025 - 688 с.(П)</t>
  </si>
  <si>
    <t>ИСТОРИЯ СУДА И ПРАВОСУДИЯ В РОССИИ</t>
  </si>
  <si>
    <t>Сырых В.М., Ершов В.В.</t>
  </si>
  <si>
    <t>978-5-00156-162-0</t>
  </si>
  <si>
    <t>40.03.01, 40.04.01, 40.05.03, 40.05.04, 40.06.01</t>
  </si>
  <si>
    <t>786079.03.01</t>
  </si>
  <si>
    <t>История суда и правосудия в России: Т.9. История конст. прав..: Моногр.-М.:Юр. НОРМА, НИЦ ИНФРА-М,2025-632с.(П)</t>
  </si>
  <si>
    <t>ИСТОРИЯ СУДА И ПРАВОСУДИЯ В РОССИИ. Т.9, Т.9</t>
  </si>
  <si>
    <t>Ершов В., Сырых В.М.</t>
  </si>
  <si>
    <t>978-5-00156-258-0</t>
  </si>
  <si>
    <t>729515.06.01</t>
  </si>
  <si>
    <t>История суда и правосудия в России:Т.5: Моногр. /Отв. ред. В.В.Ершова - М.:Юр.Норма, НИЦ ИНФРА-М,2026.-696 с.(П)</t>
  </si>
  <si>
    <t>ИСТОРИЯ СУДА И ПРАВОСУДИЯ В РОССИИ: ТОМ 5, Т.5</t>
  </si>
  <si>
    <t>Ершов В.В., Сырых В.М., Краковский К.П. и др.</t>
  </si>
  <si>
    <t>978-5-00156-046-3</t>
  </si>
  <si>
    <t>40.02.02, 40.02.04, 40.03.01, 40.04.01</t>
  </si>
  <si>
    <t>486775.01.01</t>
  </si>
  <si>
    <t>История Франции / М. Ферро - М.: Весь Мир, 2015 - 832 с.+карты.(Национальная история) (п)</t>
  </si>
  <si>
    <t>ИСТОРИЯ ФРАНЦИИ</t>
  </si>
  <si>
    <t>Ферро М.</t>
  </si>
  <si>
    <t>Переплет</t>
  </si>
  <si>
    <t>Весь Мир</t>
  </si>
  <si>
    <t>Национальная история</t>
  </si>
  <si>
    <t>978-5-7777-0552-5</t>
  </si>
  <si>
    <t>785107.04.01</t>
  </si>
  <si>
    <t>Источники и формы права в совр. финанс.-правовой науке / Под ред. Пешкова Х.В. - М.:НИЦ ИНФРА-М,2026 - 380 с.(п)</t>
  </si>
  <si>
    <t>ИСТОЧНИКИ И ФОРМЫ ПРАВА В СОВРЕМЕННОЙ ФИНАНСОВО-ПРАВОВОЙ НАУКЕ</t>
  </si>
  <si>
    <t>Белогорцева Х.В., Мирошник С.В., Запольский С.В. и др.</t>
  </si>
  <si>
    <t>978-5-16-017935-3</t>
  </si>
  <si>
    <t>38.04.09, 40.04.01, 40.06.01</t>
  </si>
  <si>
    <t>767673.02.01</t>
  </si>
  <si>
    <t>Источники и формы совр. рос. права: Монография / А.Н.Чашин-М.:НИЦ ИНФРА-М,2023.-452 с(П)</t>
  </si>
  <si>
    <t>ИСТОЧНИКИ И ФОРМЫ СОВРЕМЕННОГО РОССИЙСКОГО ПРАВА</t>
  </si>
  <si>
    <t>Чашин А.Н.</t>
  </si>
  <si>
    <t>978-5-16-017467-9</t>
  </si>
  <si>
    <t>38.05.01, 40.03.01, 40.04.01, 40.05.01, 40.05.02, 40.05.03, 40.05.04, 40.06.01</t>
  </si>
  <si>
    <t>Северо-Восточный государственный университет</t>
  </si>
  <si>
    <t>693949.02.01</t>
  </si>
  <si>
    <t>Источники изучения международных отношений...: Моногр./ Л.О.Терновая-М.:НИЦ ИНФРА-М,2022-341с.(Науч.мысль)(П)</t>
  </si>
  <si>
    <t>ИСТОЧНИКИ ИЗУЧЕНИЯ МЕЖДУНАРОДНЫХ ОТНОШЕНИЙ: ПРОЕКЦИЯ  ВО ВРЕМЕНИ И ВЕЧНОСТИ</t>
  </si>
  <si>
    <t>978-5-16-014519-8</t>
  </si>
  <si>
    <t>796506.05.01</t>
  </si>
  <si>
    <t>Источники экологического права: Моногр. / В.Б.Агафонов и др. - М.:НИЦ ИНФРА-М,2026. - 344 с.(ИЗиСП)(п)</t>
  </si>
  <si>
    <t>ИСТОЧНИКИ ЭКОЛОГИЧЕСКОГО ПРАВА</t>
  </si>
  <si>
    <t>Агафонов В.Б., Боголюбов С.А., Васильева Л.Н. и др.</t>
  </si>
  <si>
    <t>978-5-16-018141-7</t>
  </si>
  <si>
    <t>20.04.01, 20.04.02, 20.06.01, 40.04.01, 40.05.01, 40.05.02, 40.05.04, 40.06.01</t>
  </si>
  <si>
    <t>805698.05.01</t>
  </si>
  <si>
    <t>К новой парадигме мир. экономики: Моногр. / Е.В.Зенкина - М.:НИЦ ИНФРА-М,2026 - 279 с.(Науч.мысль (РГГУ))(п)</t>
  </si>
  <si>
    <t>К НОВОЙ ПАРАДИГМЕ МИРОВОЙ ЭКОНОМИКИ</t>
  </si>
  <si>
    <t>Зенкина Е.В., Бегма Ю.С.</t>
  </si>
  <si>
    <t>978-5-16-019046-4</t>
  </si>
  <si>
    <t>38.03.04, 38.04.04, 38.05.02, 38.06.01, 41.03.05, 41.04.05</t>
  </si>
  <si>
    <t>753606.04.01</t>
  </si>
  <si>
    <t>Кавказ в истории России: Моногр. / И.В.Бочарников - М.:НИЦ ИНФРА-М,2025 - 297 с.(Науч.мысль)(П)</t>
  </si>
  <si>
    <t>КАВКАЗ В ИСТОРИИ РОССИИ</t>
  </si>
  <si>
    <t>Бочарников И.В.</t>
  </si>
  <si>
    <t>978-5-16-016898-2</t>
  </si>
  <si>
    <t>46.00.00, 46.04.01, 46.06.01</t>
  </si>
  <si>
    <t>747881.04.01</t>
  </si>
  <si>
    <t>Кавказская политика России: Моногр. / И.В.Бочарников - М.:НИЦ ИНФРА-М,2024 - 175 с.(Науч.мысль)(О)</t>
  </si>
  <si>
    <t>КАВКАЗСКАЯ ПОЛИТИКА РОССИИ</t>
  </si>
  <si>
    <t>978-5-16-016720-6</t>
  </si>
  <si>
    <t>41.03.01, 41.03.05, 41.04.01, 41.04.04, 41.04.05, 41.06.01</t>
  </si>
  <si>
    <t>353600.08.01</t>
  </si>
  <si>
    <t>Кадровая политика корпорации: Моногр. / Н.М.Кузьмина - М.:НИЦ ИНФРА-М,2026 - 167 с.(Науч.мысль)(О)</t>
  </si>
  <si>
    <t>КАДРОВАЯ ПОЛИТИКА КОРПОРАЦИИ</t>
  </si>
  <si>
    <t>Кузьмина Н.М.</t>
  </si>
  <si>
    <t>978-5-16-010891-9</t>
  </si>
  <si>
    <t>38.03.03, 38.04.03, 44.03.01</t>
  </si>
  <si>
    <t>777383.01.01</t>
  </si>
  <si>
    <t>Кадровое обеспечение топл.-энергет. комплекса РФ в усл. Энергоперехода: Моногр. / А.А.Серегина-М.:НИЦ ИНФРА-М,2022-269с.(П)</t>
  </si>
  <si>
    <t>КАДРОВОЕ ОБЕСПЕЧЕНИЕ ТОПЛИВНО-ЭНЕРГЕТИЧЕСКОГО КОМПЛЕКСА РОССИЙСКОЙ ФЕДЕРАЦИИ В УСЛОВИЯХ ЭНЕРГОПЕРЕХОДА</t>
  </si>
  <si>
    <t>Жданеев О.В., Серегина А.А.</t>
  </si>
  <si>
    <t>978-5-16-017657-4</t>
  </si>
  <si>
    <t>851492.02.01</t>
  </si>
  <si>
    <t>Казанская губерния в составе Рос. империи...: Моногр. / И.Р.Метшин-М.:Юр. НОРМА,2025.-68 с.(о)</t>
  </si>
  <si>
    <t>КАЗАНСКАЯ ГУБЕРНИЯ В СОСТАВЕ РОССИЙСКОЙ ИМПЕРИИ: ВОПРОСЫ СОХРАНЕНИЯ ГОСУДАРСТВЕННОГО ЕДИНСТВА</t>
  </si>
  <si>
    <t>Метшин И.Р.</t>
  </si>
  <si>
    <t>978-5-00156-423-2</t>
  </si>
  <si>
    <t>46.03.01</t>
  </si>
  <si>
    <t>718648.04.01</t>
  </si>
  <si>
    <t>Картели: проблемы уголовной политики...: Моногр. / С.В.Максимов - М.:Юр. НОРМА, НИЦ ИНФРА-М,2025. - 96 с.(о)</t>
  </si>
  <si>
    <t>КАРТЕЛИ: ПРОБЛЕМЫ УГОЛОВНОЙ ПОЛИТИКИ, ЕВРАЗИЙСКИЙ ОПЫТ, ПЕРСПЕКТИВЫ</t>
  </si>
  <si>
    <t>Максимов С.В., Утаров К.А.</t>
  </si>
  <si>
    <t>978-5-00156-020-3</t>
  </si>
  <si>
    <t>40.03.01, 40.04.01, 40.05.02, 40.06.01</t>
  </si>
  <si>
    <t>637700.05.01</t>
  </si>
  <si>
    <t>Категории и некоторые их приложения: Моногр./ Г.В.Кондратьев - М.:НИЦ ИНФРА-М,2023 - 175 с.(О)</t>
  </si>
  <si>
    <t>КАТЕГОРИИ И НЕКОТОРЫЕ ИХ ПРИЛОЖЕНИЯ</t>
  </si>
  <si>
    <t>978-5-16-015978-2</t>
  </si>
  <si>
    <t>01.03.01</t>
  </si>
  <si>
    <t>704935.03.01</t>
  </si>
  <si>
    <t>Качество аудиторских услуг: концепция, методика..: Моногр. / Н.В.Кобозева - М.:НИЦ ИНФРА-М,2025 - 198 с.(О)</t>
  </si>
  <si>
    <t>КАЧЕСТВО АУДИТОРСКИХ УСЛУГ: КОНЦЕПЦИЯ, МЕТОДИКА, ИНСТРУМЕНТЫ</t>
  </si>
  <si>
    <t>Кобозева Н.В., Дунаева В.И.</t>
  </si>
  <si>
    <t>978-5-16-015091-8</t>
  </si>
  <si>
    <t>757884.06.01</t>
  </si>
  <si>
    <t>Квалификация преступ/ в сюжетах худ. лит.: Моногр. / Л.Р.Клебанов - М.:Юр.Норма,ИНФРА-М,2025. - 232 с.(П)</t>
  </si>
  <si>
    <t>КВАЛИФИКАЦИЯ ПРЕСТУПЛЕНИЙ В СЮЖЕТАХ ХУДОЖЕСТВЕННОЙ ЛИТЕРАТУРЫ</t>
  </si>
  <si>
    <t>978-5-00156-178-1</t>
  </si>
  <si>
    <t>40.03.01, 40.04.01, 40.05.02, 40.05.03, 40.05.04, 40.06.01</t>
  </si>
  <si>
    <t>Конкурс на лучшее издание, посвященное деятельности следственных органов РФ-2025, Победитель, II место</t>
  </si>
  <si>
    <t>401100.10.01</t>
  </si>
  <si>
    <t>Квалификация преступл..: Моногр. / В.К.Дуюнов - 5 изд. - М.:ИЦ РИОР, НИЦ ИНФРА-М,2020 - 431 с.(П)</t>
  </si>
  <si>
    <t>КВАЛИФИКАЦИЯ ПРЕСТУПЛЕНИЙ: ЗАКОНОДАТЕЛЬСТВО, ТЕОРИЯ, СУДЕБНАЯ ПРАКТИКА, ИЗД.5</t>
  </si>
  <si>
    <t>Дуюнов В.К., Хлебушкин А.Г.</t>
  </si>
  <si>
    <t>978-5-369-01849-1</t>
  </si>
  <si>
    <t>0520</t>
  </si>
  <si>
    <t>401100.09.01</t>
  </si>
  <si>
    <t>Квалификация преступл.: Моногр. / В.К.Дуюнов - 4 изд. - М.:ИЦ РИОР,НИЦ ИНФРА-М,2019 - 431 с.(П)</t>
  </si>
  <si>
    <t>КВАЛИФИКАЦИЯ ПРЕСТУПЛЕНИЙ: ЗАКОНОДАТЕЛЬСТВО, ТЕОРИЯ, СУДЕБНАЯ ПРАКТИКА, ИЗД.4</t>
  </si>
  <si>
    <t>978-5-369-01795-1</t>
  </si>
  <si>
    <t>0419</t>
  </si>
  <si>
    <t>401100.14.01</t>
  </si>
  <si>
    <t>Квалификация преступлений...: Моногр. / В.К.Дуюнов - 6 изд. - М.:ИЦ РИОР, НИЦ ИНФРА-М,2023-481 с.(П)</t>
  </si>
  <si>
    <t>КВАЛИФИКАЦИЯ ПРЕСТУПЛЕНИЙ: ЗАКОНОДАТЕЛЬСТВО, ТЕОРИЯ, СУДЕБНАЯ ПРАКТИКА, ИЗД.6</t>
  </si>
  <si>
    <t>978-5-369-01875-0</t>
  </si>
  <si>
    <t>0621</t>
  </si>
  <si>
    <t>401100.15.01</t>
  </si>
  <si>
    <t>Квалификация преступлений...: Моногр. / В.К.Дуюнов, - 7 изд.-М.:ИЦ РИОР, НИЦ ИНФРА-М,2024.-486 с.(п)</t>
  </si>
  <si>
    <t>КВАЛИФИКАЦИЯ ПРЕСТУПЛЕНИЙ: ЗАКОНОДАТЕЛЬСТВО, ТЕОРИЯ, СУДЕБНАЯ ПРАКТИКА, ИЗД.7</t>
  </si>
  <si>
    <t>978-5-369-01949-8</t>
  </si>
  <si>
    <t>0724</t>
  </si>
  <si>
    <t>230400.09.01</t>
  </si>
  <si>
    <t>Квалификация убийств при отягч. обстоят.: Моногр. / Н.А.Бабий-М.:НИЦ ИНФРА-М,2024.-287 с.(Науч.мысль)(О)</t>
  </si>
  <si>
    <t>КВАЛИФИКАЦИЯ УБИЙСТВ ПРИ ОТЯГЧАЮЩИХ ОБСТОЯТЕЛЬСТВАХ</t>
  </si>
  <si>
    <t>Бабий Н.А.</t>
  </si>
  <si>
    <t>978-5-16-009059-7</t>
  </si>
  <si>
    <t>670746.04.01</t>
  </si>
  <si>
    <t>Квантовая экономика действий: Моногр. / В.А.Мельников-2 изд.-М.:НИЦ ИНФРА-М,СФУ,2022-248с.-(Науч.мысль (СФУ))(П)</t>
  </si>
  <si>
    <t>КВАНТОВАЯ ЭКОНОМИКА ДЕЙСТВИЙ, ИЗД.2</t>
  </si>
  <si>
    <t>Мельников В.А.</t>
  </si>
  <si>
    <t>978-5-16-013416-1</t>
  </si>
  <si>
    <t>777259.06.01</t>
  </si>
  <si>
    <t>Кибермафия: мировые тенденции и...: Моногр. / В.С.Овчинский - М.:Юр. НОРМА,2025 - 184 с.(п)</t>
  </si>
  <si>
    <t>КИБЕРМАФИЯ: МИРОВЫЕ ТЕНДЕНЦИИ И МЕЖДУНАРОДНОЕ ПРОТИВОДЕЙСТИЕ</t>
  </si>
  <si>
    <t>Овчинский В.С.</t>
  </si>
  <si>
    <t>978-5-00156-245-0</t>
  </si>
  <si>
    <t>10.04.01, 40.04.01, 40.05.01, 40.05.02, 40.06.01</t>
  </si>
  <si>
    <t>656163.11.01</t>
  </si>
  <si>
    <t>Киноискусство России: опыт позитивной антропологии: Моногр. / А.С.Брейтман - М.:НИЦ ИНФРА-М,2026. - 185 с.(о)</t>
  </si>
  <si>
    <t>КИНОИСКУССТВО РОССИИ: ОПЫТ ПОЗИТИВНОЙ АНТРОПОЛОГИИ</t>
  </si>
  <si>
    <t>Брейтман А.С.</t>
  </si>
  <si>
    <t>978-5-16-016748-0</t>
  </si>
  <si>
    <t>42.03.04, 51.03.05</t>
  </si>
  <si>
    <t>Дальневосточный государственный университет путей сообщения</t>
  </si>
  <si>
    <t>665129.05.01</t>
  </si>
  <si>
    <t>Китайский юань: на пути к глобальному статусу: Моногр./ А.С.Селищев-М.:НИЦ ИНФРА-М,2024.-352 с.(О)</t>
  </si>
  <si>
    <t>КИТАЙСКИЙ ЮАНЬ: НА ПУТИ К ГЛОБАЛЬНОМУ СТАТУСУ</t>
  </si>
  <si>
    <t>Селищев А.С., Селищев Н.А., Селищев А.А.</t>
  </si>
  <si>
    <t>978-5-16-017464-8</t>
  </si>
  <si>
    <t>Российский экономический университет им. Г.В. Плеханова, Минский ф-л</t>
  </si>
  <si>
    <t>746313.04.01</t>
  </si>
  <si>
    <t>Классификация сост. преступ. в уголов. праве: Моногр. / А.М.Ораздурдыев - М.:Юр.Норма,2026 - 408 с.(П)</t>
  </si>
  <si>
    <t>КЛАССИФИКАЦИЯ СОСТАВОВ ПРЕСТУПЛЕНИЙ В УГОЛОВНОМ ПРАВЕ</t>
  </si>
  <si>
    <t>978-5-00156-106-4</t>
  </si>
  <si>
    <t>489100.06.01</t>
  </si>
  <si>
    <t>Классическая философия искусства. И. Кант: Моногр. / Н.Н.Никитина - М.:НИЦ ИНФРА-М,2026 - 242 с.(П)</t>
  </si>
  <si>
    <t>КЛАССИЧЕСКАЯ ФИЛОСОФИЯ ИСКУССТВА. И. КАНТ</t>
  </si>
  <si>
    <t>Никитина Н.Н.</t>
  </si>
  <si>
    <t>978-5-16-011751-5</t>
  </si>
  <si>
    <t>50.03.04, 50.04.04, 51.04.04</t>
  </si>
  <si>
    <t>Российский институт театрального искусства - ГИТИС</t>
  </si>
  <si>
    <t>839520.01.01</t>
  </si>
  <si>
    <t>Кластерный анализ и MANOVA в маркат...: Моногр. / Ю.А.Зуенкова - М.:НИЦ ИНФРА-М,2025. - 202 с.(п)</t>
  </si>
  <si>
    <t>КЛАСТЕРНЫЙ АНАЛИЗ И MANOVA В МАРКЕТИНГОВЫХ И ЭКОНОМИЧЕСКИХ ИССЛЕДОВАНИЯХ</t>
  </si>
  <si>
    <t>Зуенкова Ю.А., Стаменкович М.Д.</t>
  </si>
  <si>
    <t>978-5-16-020629-5</t>
  </si>
  <si>
    <t>832518.02.01</t>
  </si>
  <si>
    <t>Клиентоориентированность как ключ. ценность...: Моногр. / Е.Е.Жукова - 2 изд. - М.:НИЦ ИНФРА-М,2025 - 287 с.(п)</t>
  </si>
  <si>
    <t>КЛИЕНТООРИЕНТИРОВАННОСТЬ КАК КЛЮЧЕВАЯ ЦЕННОСТЬ СОВРЕМЕННОГО КОНКУРЕНТОСПОСОБНОГО БИЗНЕСА, ИЗД.2</t>
  </si>
  <si>
    <t>Жукова Е.Е., Суворова Т.В., Бурлаков В.В. и др.</t>
  </si>
  <si>
    <t>978-5-16-020418-5</t>
  </si>
  <si>
    <t>689658.03.01</t>
  </si>
  <si>
    <t>Климатография Евпаторийского курорта: Моногр. / В.Н.Любчик-М.:НИЦ ИНФРА-М,2023.-135 с(Науч.мысль)(П)</t>
  </si>
  <si>
    <t>КЛИМАТОГРАФИЯ ЕВПАТОРИЙСКОГО КУРОРТА</t>
  </si>
  <si>
    <t>Любчик В.Н.</t>
  </si>
  <si>
    <t>978-5-16-014394-1</t>
  </si>
  <si>
    <t>31.05.01, 32.05.01, 34.03.01, 49.03.03</t>
  </si>
  <si>
    <t>230200.07.01</t>
  </si>
  <si>
    <t>Клинико-морфолог. изменения у собак и кошек...: Моногр. / Д.И.Гильдиков - М.:НИЦ ИНФРА-М,2025.-149 с.(О)</t>
  </si>
  <si>
    <t>КЛИНИКО-МОРФОЛОГИЧЕСКИЕ ИЗМЕНЕНИЯ У СОБАК И КОШЕК ПРИ САХАРНОМ ДИАБЕТЕ</t>
  </si>
  <si>
    <t>Гильдиков Д. И., Байматов В. Н.</t>
  </si>
  <si>
    <t>978-5-16-009057-3</t>
  </si>
  <si>
    <t>35.02.15, 36.03.02, 36.04.02, 44.03.05</t>
  </si>
  <si>
    <t>Московская государственная академия ветеринарной медицины и биотехнологии - МВА им. К.И. Скрябина</t>
  </si>
  <si>
    <t>643070.10.01</t>
  </si>
  <si>
    <t>Клиническая биохимия:курс лекций / В.Н.Титов - М.:НИЦ ИНФРА-М,2026 - 441 с.(Клиническая практика)(П)</t>
  </si>
  <si>
    <t>КЛИНИЧЕСКАЯ БИОХИМИЯ:КУРС ЛЕКЦИЙ</t>
  </si>
  <si>
    <t>Титов В.Н.</t>
  </si>
  <si>
    <t>Клиническая практика</t>
  </si>
  <si>
    <t>978-5-16-012430-8</t>
  </si>
  <si>
    <t>Профессиональное образование / ВО - Специалитет</t>
  </si>
  <si>
    <t>30.06.01, 30.07.01, 31.06.01, 31.07.01</t>
  </si>
  <si>
    <t>658024.03.01</t>
  </si>
  <si>
    <t>Клиническая история хирургич. больного: Справ.пос./ В.И.Белоконев-М:Форум,НИЦ ИНФРА-М,2023-223с(ВО)(П)</t>
  </si>
  <si>
    <t>КЛИНИЧЕСКАЯ ИСТОРИЯ ХИРУРГИЧЕСКОГО БОЛЬНОГО</t>
  </si>
  <si>
    <t>Белоконев В.И., Мелентьева О.Н.</t>
  </si>
  <si>
    <t>Высшее образование: Специалитет</t>
  </si>
  <si>
    <t>978-5-00091-470-0</t>
  </si>
  <si>
    <t>31.05.01, 31.08.67</t>
  </si>
  <si>
    <t>Рекомендовано в качестве учебного пособия  для студентов высших учебных заведений, обучающихся по направлениям подготовки 31.05.01 «Лечебное дело» (квалификация «врач общей практики»); 31.08.67 «Хирургия» (квалификация «врач-хирург»)</t>
  </si>
  <si>
    <t>808964.01.01</t>
  </si>
  <si>
    <t>КоАП РФ - М.:НИЦ ИНФРА-М,2025. - 716 с.(п)</t>
  </si>
  <si>
    <t>КОДЕКС РОССИЙСКОЙ ФЕДЕРАЦИИ ОБ АДМИНИСТРАТИВНЫХ ПРАВОНАРУШЕНИЯХ</t>
  </si>
  <si>
    <t>978-5-16-018820-1</t>
  </si>
  <si>
    <t>Федеральный закон</t>
  </si>
  <si>
    <t>10.05.04, 38.03.04, 38.05.01, 38.05.02, 40.02.02, 40.02.04, 40.03.01, 40.05.01, 40.05.02, 40.05.03, 40.05.04, 44.03.05, 46.03.02</t>
  </si>
  <si>
    <t>667389.05.01</t>
  </si>
  <si>
    <t>Когнитивная поэтика: предмет, терминол., методы: Моногр. / И.А.Тарасова - М.:НИЦ ИНФРА-М,2024-166 с.(Науч.мысль)(о)</t>
  </si>
  <si>
    <t>КОГНИТИВНАЯ ПОЭТИКА: ПРЕДМЕТ, ТЕРМИНОЛОГИЯ, МЕТОДЫ</t>
  </si>
  <si>
    <t>Тарасова И.А.</t>
  </si>
  <si>
    <t>978-5-16-018910-9</t>
  </si>
  <si>
    <t>732746.07.01</t>
  </si>
  <si>
    <t>Кодекс законов о браке, семье и опеке РСФСР 1926 г..: Моногр. / П.Л.Полянский - М.:Юр.Норма,2026 - 240 с.(П)</t>
  </si>
  <si>
    <t>КОДЕКС ЗАКОНОВ О БРАКЕ, СЕМЬЕ И ОПЕКЕ РСФСР 1926 ГОДА</t>
  </si>
  <si>
    <t>Полянский П.Л.</t>
  </si>
  <si>
    <t>978-5-00156-056-2</t>
  </si>
  <si>
    <t>753439.02.01</t>
  </si>
  <si>
    <t>Колебания твердых тел, жидкостей и газов с учетом...: Моногр. / И.В.Кудинов - М.:НИЦ ИНФРА-М,2023 - 162 с.(О)</t>
  </si>
  <si>
    <t>КОЛЕБАНИЯ ТВЕРДЫХ ТЕЛ, ЖИДКОСТЕЙ И ГАЗОВ С УЧЕТОМ ЛОКАЛЬНОЙ НЕРАВНОВЕСНОСТИ</t>
  </si>
  <si>
    <t>Кудинов И.В., Еремин А.В., Жуков В.В. и др.</t>
  </si>
  <si>
    <t>978-5-16-017515-7</t>
  </si>
  <si>
    <t>01.03.03, 01.04.03</t>
  </si>
  <si>
    <t>661931.10.01</t>
  </si>
  <si>
    <t>Коллизионные нормы в советском праве: Моногр. / Н.А.Власенко - М.:Юр.Норма, НИЦ ИНФРА-М,2026 - 100 с.(О)</t>
  </si>
  <si>
    <t>КОЛЛИЗИОННЫЕ НОРМЫ В СОВЕТСКОМ ПРАВЕ</t>
  </si>
  <si>
    <t>Власенко Н.А.</t>
  </si>
  <si>
    <t>978-5-91768-861-9</t>
  </si>
  <si>
    <t>779141.01.01</t>
  </si>
  <si>
    <t>Колониальный период истории США. Золотой век Виргинии / П.В.Востриков-М.:НИЦ ИНФРА-М,2022.-292 с.(О)</t>
  </si>
  <si>
    <t>КОЛОНИАЛЬНЫЙ ПЕРИОД ИСТОРИИ США. «ЗОЛОТОЙ ВЕК ВИРГИНИИ» (1680-1776)</t>
  </si>
  <si>
    <t>Востриков П.В.</t>
  </si>
  <si>
    <t>978-5-16-017793-9</t>
  </si>
  <si>
    <t>41.04.01, 41.04.04, 41.04.05, 41.06.01</t>
  </si>
  <si>
    <t>814594.01.01</t>
  </si>
  <si>
    <t>Комбинированная техника в экобиотехн. и эколог. технологиях: Моногр. / Б.С.Ксенофонтов-М.:ИНФРА-М,2024-193с.(п)</t>
  </si>
  <si>
    <t>КОМБИНИРОВАННАЯ ТЕХНИКА В ЭКОБИОТЕХНОЛОГИЧЕСКИХ И ЭКОЛОГИЧЕСКИХ ТЕХНОЛОГИЯХ</t>
  </si>
  <si>
    <t>Ксенофонтов Б.С.</t>
  </si>
  <si>
    <t>978-5-16-019245-1</t>
  </si>
  <si>
    <t>20.04.01, 20.06.01</t>
  </si>
  <si>
    <t>733604.03.01</t>
  </si>
  <si>
    <t>Коммент. к главе 8 Кодекса РФ об адм. правонаруш. от 30.12.2001 г. / А.Ф. Ноздрачев - М.: НИЦ ИНФРА-М,2021-472с(П)</t>
  </si>
  <si>
    <t>КОММЕНТАРИЙ К ГЛАВЕ 8 КОДЕКСА РОССИЙСКОЙ ФЕДЕРАЦИИ ОБ АДМИНИСТРАТИВНЫХ ПРАВОНАРУШЕНИЯХ ОТ 30 ДЕКАБРЯ 2001 ГОДА № 195-ФЗ «АДМИНИСТРАТИВНЫЕ ПРАВОНАРУШЕНИЯ В СФЕРЕ ОХРАНЫ ОКРУЖАЮЩЕЙ СРЕДЫ И ПРИРОДОПОЛЬЗОВАНИЯ» (ПОСТАТЕЙНЫЙ)</t>
  </si>
  <si>
    <t>Ноздрачев А.Ф., Васильева М.И., Галиновская Е.А. и др.</t>
  </si>
  <si>
    <t>978-5-16-016077-1</t>
  </si>
  <si>
    <t>095800.09.01</t>
  </si>
  <si>
    <t>Коммент. к ГПК РФ / В.В.Ярков,  - 5 изд. - М.:Юр.Норма, НИЦ ИНФРА-М,2026. -  928 с.(П)</t>
  </si>
  <si>
    <t>КОММЕНТАРИЙ К ГРАЖДАНСКОМУ ПРОЦЕССУАЛЬНОМУ КОДЕКСУ РОССИЙСКОЙ ФЕДЕРАЦИИ, ИЗД.5</t>
  </si>
  <si>
    <t>Ярков В.В.</t>
  </si>
  <si>
    <t>Комментарии "Нормы"</t>
  </si>
  <si>
    <t>978-5-00156-135-4</t>
  </si>
  <si>
    <t>40.02.04, 40.03.01, 40.04.01, 40.05.01, 40.05.02, 40.05.03, 40.05.04, 40.06.01</t>
  </si>
  <si>
    <t>0521</t>
  </si>
  <si>
    <t>095800.03.01</t>
  </si>
  <si>
    <t>Коммент. к ГПК РФ / В.И. Нечаев и др. - 4 изд., перераб. и доп. - М.: Юр.Норма,НИЦ ИНФРА-М, 2014-816</t>
  </si>
  <si>
    <t>КОММЕНТАРИЙ К ГРАЖДАНСКОМУ ПРОЦЕССУАЛЬНОМУ КОДЕКСУ РОССИЙСКОЙ ФЕДЕРАЦИИ, ИЗД.4</t>
  </si>
  <si>
    <t>Нечаев В.И., Ярков В.В., Нечаев В.И.</t>
  </si>
  <si>
    <t>978-5-91768-418-5</t>
  </si>
  <si>
    <t>Московский государственный университет им. М.В. Ломоносова, высшая школа государственного аудита (факультет)</t>
  </si>
  <si>
    <t>0413</t>
  </si>
  <si>
    <t>121850.11.01</t>
  </si>
  <si>
    <t>Коммент. к Земельному кодексу РФ (пост.) / Е.С.Болтанова - 6 изд. -  М.:ИЦ РИОР, НИЦ ИНФРА-М,2025 - 510 с.(о)</t>
  </si>
  <si>
    <t>КОММЕНТАРИЙ К ЗЕМЕЛЬНОМУ КОДЕКСУ РОССИЙСКОЙ ФЕДЕРАЦИИ (ПОСТАТЕЙНЫЙ), ИЗД.6</t>
  </si>
  <si>
    <t>Болтанова Е.С.</t>
  </si>
  <si>
    <t>978-5-369-01988-7</t>
  </si>
  <si>
    <t>06.03.02, 40.03.01, 40.04.01</t>
  </si>
  <si>
    <t>0625</t>
  </si>
  <si>
    <t>121850.02.01</t>
  </si>
  <si>
    <t>Коммент. к Земельному кодексу РФ (постат.) /Е.С.Болтанова - 2 изд. - РИОР: ИНФРА-М,2014-440с.(о) к/ф</t>
  </si>
  <si>
    <t>КОММЕНТАРИЙ К ЗЕМЕЛЬНОМУ КОДЕКСУ РОССИЙСКОЙ ФЕДЕРАЦИИ (ПОСТАТЕЙНЫЙ), ИЗД.2</t>
  </si>
  <si>
    <t>Болтанова Е.С.Женетль С. З.</t>
  </si>
  <si>
    <t>978-5-369-01274-1</t>
  </si>
  <si>
    <t>121850.10.01</t>
  </si>
  <si>
    <t>Коммент. к Земельному кодексу РФ (постат.)/ Е.С.Болтанова - 5 изд.-М.:ИЦ РИОР, НИЦ ИНФРА-М,2024.-487 с.(о)</t>
  </si>
  <si>
    <t>КОММЕНТАРИЙ К ЗЕМЕЛЬНОМУ КОДЕКСУ РОССИЙСКОЙ ФЕДЕРАЦИИ (ПОСТАТЕЙНЫЙ), ИЗД.5</t>
  </si>
  <si>
    <t>978-5-369-01947-4</t>
  </si>
  <si>
    <t>0524</t>
  </si>
  <si>
    <t>121850.09.01</t>
  </si>
  <si>
    <t>Коммент. к Земельному кодексу РФ(постат.) /Е.С.Болтанова - 4 изд. - М.:ИЦ РИОР,НИЦ ИНФРА-М,2023-477с(О)</t>
  </si>
  <si>
    <t>КОММЕНТАРИЙ К ЗЕМЕЛЬНОМУ КОДЕКСУ РОССИЙСКОЙ ФЕДЕРАЦИИ (ПОСТАТЕЙНЫЙ), ИЗД.4</t>
  </si>
  <si>
    <t>978-5-369-01882-8</t>
  </si>
  <si>
    <t>0422</t>
  </si>
  <si>
    <t>121850.06.01</t>
  </si>
  <si>
    <t>Коммент. к Земельному кодексу РФ(постат.) /Е.С.Болтанова- 3 изд.-М.:ИЦ РИОР,НИЦ ИНФРА-М,2019-412с(О)</t>
  </si>
  <si>
    <t>КОММЕНТАРИЙ К ЗЕМЕЛЬНОМУ КОДЕКСУ РОССИЙСКОЙ ФЕДЕРАЦИИ (ПОСТАТЕЙНЫЙ), ИЗД.3</t>
  </si>
  <si>
    <t>978-5-369-01691-6</t>
  </si>
  <si>
    <t>766769.06.01</t>
  </si>
  <si>
    <t>Коммент. к Конституции РФ (пост.): с учетом изм. на 1.07. 2020 г. / Под ред. Хабриевой Т.Я. - М.:НИЦ ИНФРА-М,2024 - 368 с.(П)</t>
  </si>
  <si>
    <t>КОММЕНТАРИЙ К КОНСТИТУЦИИ РОССИЙСКОЙ ФЕДЕРАЦИИ (ПОСТАТЕЙНЫЙ): С УЧЕТОМ ИЗМЕНЕНИЙ, ОДОБРЕННЫХ В ХОДЕ ОБЩЕРОССИЙСКОГО ГОЛОСОВАНИЯ 1 ИЮЛЯ 2020 ГОДА</t>
  </si>
  <si>
    <t>Хабриева Т.Я., Андриченко Л.В., Нанба С.Б. и др.</t>
  </si>
  <si>
    <t>978-5-16-017252-1</t>
  </si>
  <si>
    <t>00.03.40, 38.03.04, 40.02.02, 40.02.04, 40.03.01, 40.04.01, 40.05.01, 40.05.02, 40.05.03, 40.05.04, 40.06.01</t>
  </si>
  <si>
    <t>078300.15.01</t>
  </si>
  <si>
    <t>Коммент. к Трудовому кодексу РФ (пост.) / Г.С.Скачкова, - 12 изд.-М.:ИЦ РИОР, НИЦ ИНФРА-М,2022.-686 с.(О)</t>
  </si>
  <si>
    <t>КОММЕНТАРИЙ К ТРУДОВОМУ КОДЕКСУ РОССИЙСКОЙ ФЕДЕРАЦИИ (ПОСТАТЕЙНЫЙ), ИЗД.12</t>
  </si>
  <si>
    <t>Скачкова Г.С.</t>
  </si>
  <si>
    <t>978-5-369-01911-5</t>
  </si>
  <si>
    <t>38.03.01, 38.03.03, 38.03.04, 40.02.02, 40.02.04, 40.03.01, 40.04.01, 41.03.06, 44.03.05, 46.03.02</t>
  </si>
  <si>
    <t>1222</t>
  </si>
  <si>
    <t>078300.18.01</t>
  </si>
  <si>
    <t>Коммент. к Трудовому кодексу РФ (пост.)/ Г.С.Скачкова, - 13 изд.-М.:ИЦ РИОР, НИЦ ИНФРА-М,2023.-749 с.(о)</t>
  </si>
  <si>
    <t>КОММЕНТАРИЙ К ТРУДОВОМУ КОДЕКСУ РОССИЙСКОЙ ФЕДЕРАЦИИ (ПОСТАТЕЙНЫЙ), ИЗД.13</t>
  </si>
  <si>
    <t>978-5-369-01930-6</t>
  </si>
  <si>
    <t>1323</t>
  </si>
  <si>
    <t>078300.13.01</t>
  </si>
  <si>
    <t>Коммент. к Трудовому кодексу РФ (пост.): коммент. / Г.С.Скачкова, - 10 изд.-М.:ИЦ РИОР, НИЦ ИНФРА-М,2020.-580 с.(О)</t>
  </si>
  <si>
    <t>КОММЕНТАРИЙ К ТРУДОВОМУ КОДЕКСУ РОССИЙСКОЙ ФЕДЕРАЦИИ (ПОСТАТЕЙНЫЙ), ИЗД.10</t>
  </si>
  <si>
    <t>978-5-369-01847-7</t>
  </si>
  <si>
    <t>1020</t>
  </si>
  <si>
    <t>078300.14.01</t>
  </si>
  <si>
    <t>Коммент. к Трудовому кодексу РФ (пост.): коммент. / Г.С.Скачкова, - 11 изд.-М.:ИЦ РИОР, НИЦ ИНФРА-М,2021.-605 с.(О)</t>
  </si>
  <si>
    <t>КОММЕНТАРИЙ К ТРУДОВОМУ КОДЕКСУ РОССИЙСКОЙ ФЕДЕРАЦИИ (ПОСТАТЕЙНЫЙ), ИЗД.11</t>
  </si>
  <si>
    <t>978-5-369-01866-8</t>
  </si>
  <si>
    <t>1121</t>
  </si>
  <si>
    <t>078300.11.01</t>
  </si>
  <si>
    <t>Коммент. к Трудовому кодексу РФ (постат.) / Г.С.Скачкова - 9 изд.-М.:ИЦ РИОР, НИЦ ИНФРА-М,2019-566с(О)</t>
  </si>
  <si>
    <t>КОММЕНТАРИЙ К ТРУДОВОМУ КОДЕКСУ РОССИЙСКОЙ ФЕДЕРАЦИИ (ПОСТАТЕЙНЫЙ), ИЗД.9</t>
  </si>
  <si>
    <t>978-5-369-01799-9</t>
  </si>
  <si>
    <t>0919</t>
  </si>
  <si>
    <t>078300.19.01</t>
  </si>
  <si>
    <t>Коммент. к Трудовому кодексу РФ(пост.) / Г.С.Скачкова, - 14 изд. - М.:ИЦ РИОР, НИЦ ИНФРА-М,2024 - 776 с.(о)</t>
  </si>
  <si>
    <t>КОММЕНТАРИЙ К ТРУДОВОМУ КОДЕКСУ РОССИЙСКОЙ ФЕДЕРАЦИИ (ПОСТАТЕЙНЫЙ), ИЗД.14</t>
  </si>
  <si>
    <t>978-5-369-01964-1</t>
  </si>
  <si>
    <t>1424</t>
  </si>
  <si>
    <t>078300.08.01</t>
  </si>
  <si>
    <t>Коммент. к Трудовому кодексу РФ(постат.) /Г.С.Скачкова -7 изд. - М.:ИЦ РИОР,НИЦ ИНФРА-М,2017-538с(О)</t>
  </si>
  <si>
    <t>КОММЕНТАРИЙ К ТРУДОВОМУ КОДЕКСУ РОССИЙСКОЙ ФЕДЕРАЦИИ (ПОСТАТЕЙНЫЙ), ИЗД.7</t>
  </si>
  <si>
    <t>978-5-369-01633-6</t>
  </si>
  <si>
    <t>0717</t>
  </si>
  <si>
    <t>078300.09.01</t>
  </si>
  <si>
    <t>Коммент. к Трудовому кодексу РФ(постат.) /Г.С.Скачкова -8 изд. - М.:ИЦ РИОР,НИЦ ИНФРА-М,2018-538с(О)</t>
  </si>
  <si>
    <t>КОММЕНТАРИЙ К ТРУДОВОМУ КОДЕКСУ РОССИЙСКОЙ ФЕДЕРАЦИИ (ПОСТАТЕЙНЫЙ), ИЗД.8</t>
  </si>
  <si>
    <t>978-5-369-01777-7</t>
  </si>
  <si>
    <t>0818</t>
  </si>
  <si>
    <t>104450.02.01</t>
  </si>
  <si>
    <t>Коммент. к ФЗ "Об исполнительном производстве" / Под ред. В.В. Яркова. - НОРМА, 2014. - 656 с.</t>
  </si>
  <si>
    <t>КОММЕНТАРИЙ К ФЕДЕРАЛЬНОМУ ЗАКОНУ "ОБ ИСПОЛНИТЕЛЬНОМ ПРОИЗВОДСТВЕ", ИЗД.2</t>
  </si>
  <si>
    <t>978-5-91768-501-4</t>
  </si>
  <si>
    <t>37.05.02, 40.02.02, 40.02.04, 40.03.01, 40.04.01, 40.05.01, 40.05.02, 40.05.04</t>
  </si>
  <si>
    <t>104450.06.01</t>
  </si>
  <si>
    <t>Коммент. к ФЗ "Об исполнительном производстве" / Под ред. В.В. Яркова. - НОРМА, 2025 -752 с.(П)</t>
  </si>
  <si>
    <t>КОММЕНТАРИЙ К ФЕДЕРАЛЬНОМУ ЗАКОНУ "ОБ ИСПОЛНИТЕЛЬНОМ ПРОИЗВОДСТВЕ", ИЗД.3</t>
  </si>
  <si>
    <t>Абушенко Д.Б., Зипунникова Ю.Н., Загайнова С.К. и др.</t>
  </si>
  <si>
    <t>978-5-00156-241-2</t>
  </si>
  <si>
    <t>0322</t>
  </si>
  <si>
    <t>130200.06.01</t>
  </si>
  <si>
    <t>Коммент. к ФЗ "Об общих принципах орг... / Под ред.Бабичева И.В.- 3 изд - Юр.Норма,НИЦ ИНФРА-М,2024-752с(П)</t>
  </si>
  <si>
    <t>КОММЕНТАРИЙ К ФЕДЕРАЛЬНОМУ ЗАКОНУ "ОБ ОБЩИХ ПРИНЦИПАХ ОРГАНИЗАЦИИ МЕСТНОГО САМОУПРАВЛЕНИЯ В РОССИЙСКОЙ ФЕДЕРАЦИИ", ИЗД.3</t>
  </si>
  <si>
    <t>Бабичев И. В., Шугрина Е. С.</t>
  </si>
  <si>
    <t>978-5-00156-166-8</t>
  </si>
  <si>
    <t>0321</t>
  </si>
  <si>
    <t>130200.03.01</t>
  </si>
  <si>
    <t>Коммент. к ФЗ "Об общих принципах орг... / Под ред.Бабичева И.В.-2изд-Юр.Норма,НИЦ ИНФРА-М,2015-672с</t>
  </si>
  <si>
    <t>КОММЕНТАРИЙ К ФЕДЕРАЛЬНОМУ ЗАКОНУ "ОБ ОБЩИХ ПРИНЦИПАХ ОРГАНИЗАЦИИ МЕСТНОГО САМОУПРАВЛЕНИЯ В РОССИЙСКОЙ ФЕДЕРАЦИИ", ИЗД.2</t>
  </si>
  <si>
    <t>978-5-91768-633-2</t>
  </si>
  <si>
    <t>768618.09.01</t>
  </si>
  <si>
    <t>Коммент. к ФЗ "Об оперативно-розыск. деят." / Овчинский В.С. - М.:Юр.Норма, НИЦ ИНФРА-М,2026. - 488 с.(П)</t>
  </si>
  <si>
    <t>КОММЕНТАРИЙ К ФЕДЕРАЛЬНОМУ ЗАКОНУ "ОБ ОПЕРАТИВНО-РОЗЫСКНОЙ ДЕЯТЕЛЬНОСТИ"</t>
  </si>
  <si>
    <t>Овчинский В.С., Вагин О.А., Гаврилов Б.Я. и др.</t>
  </si>
  <si>
    <t>978-5-00156-213-9</t>
  </si>
  <si>
    <t>40.02.02, 40.03.01, 40.04.01, 40.05.01, 40.05.02, 40.05.03</t>
  </si>
  <si>
    <t>679405.02.01</t>
  </si>
  <si>
    <t>Коммент. к ФЗ от 01.05.2016 № 119-ФЗ «Об особ.. / Е.А.Галиновская-М.:НИЦ ИНФРА-М, ИЗиСП,2019-120с(О)</t>
  </si>
  <si>
    <t>КОММЕНТАРИЙ К ФЕДЕРАЛЬНОМУ ЗАКОНУ ОТ 01.05.2016 № 119-ФЗ «ОБ ОСОБЕННОСТЯХ ПРЕДОСТАВЛЕНИЯ ГРАЖДАНАМ ЗЕМЕЛЬНЫХ УЧАСТКОВ,НАХОДЯЩИХСЯ В ГОСУДАРСТВЕННОЙ ИЛИ МУНИЦИПАЛЬНОЙ СОБСТВЕННОСТИ И РАСПОЛОЖЕННЫХ НА ТЕРРИТОРИЯХ СУБЪЕКТОВ РОССИЙСКОЙ ФЕДЕРАЦИИ,ВХОДЯЩИХ В СОСТАВ ДАЛЬНЕВОСТОЧНОГО ФЕДЕРАЛЬНОГО ОКРУГА,</t>
  </si>
  <si>
    <t>Галиновская Е.А., Жариков Ю.Г., Ковалева Е.Л. и др.</t>
  </si>
  <si>
    <t>978-5-16-013701-8</t>
  </si>
  <si>
    <t>656575.04.01</t>
  </si>
  <si>
    <t>Коммент. практики рассмотрения экон.споров (судебно-арбитр.практики): Вып.22 / А.В.Алтухов-М.:НИЦ ИНФРА-М,2021-212c(О)</t>
  </si>
  <si>
    <t>КОММЕНТАРИЙ ПРАКТИКИ РАССМОТРЕНИЯ ЭКОНОМИЧЕСКИХ СПОРОВ (СУДЕБНО-АРБИТРАЖНОЙ ПРАКТИКИ). ВЫП. 22</t>
  </si>
  <si>
    <t>Алтухов А.В., Беляева О.А., Бортникова Н.А. и др.</t>
  </si>
  <si>
    <t>978-5-16-012786-6</t>
  </si>
  <si>
    <t>633946.04.01</t>
  </si>
  <si>
    <t>Коммент. судебной практики: Вып. 21 / Отв. ред. К.Б.Ярошенко - М.:НИЦ ИНФРА-М,2019-184 с.(ИЗиСП)(О)</t>
  </si>
  <si>
    <t>КОММЕНТАРИЙ СУДЕБНОЙ ПРАКТИКИ</t>
  </si>
  <si>
    <t>Ярошенко К.Б.</t>
  </si>
  <si>
    <t>978-5-16-012087-4</t>
  </si>
  <si>
    <t>38.03.01, 38.03.03, 38.03.04, 40.03.01, 40.05.03, 41.03.06, 44.03.05, 46.03.02</t>
  </si>
  <si>
    <t>136800.09.01</t>
  </si>
  <si>
    <t>Коммерциализация интеллектуальной собств.: Моногр. /В.И.Мухопад -М.:Магистр,НИЦ ИНФРА-М,2025-512с(П)</t>
  </si>
  <si>
    <t>КОММЕРЦИАЛИЗАЦИЯ ИНТЕЛЛЕКТУАЛЬНОЙ СОБСТВЕННОСТИ</t>
  </si>
  <si>
    <t>Мухопад В. И.</t>
  </si>
  <si>
    <t>978-5-9776-0169-6</t>
  </si>
  <si>
    <t>15.04.01, 15.04.04, 23.04.01, 23.04.03, 26.04.01, 29.04.01, 29.04.02, 29.04.03, 38.03.06, 38.04.06, 40.03.01, 40.04.01</t>
  </si>
  <si>
    <t>432800.06.01</t>
  </si>
  <si>
    <t>Коммуникативная эффективность дел.: Моногр. / Л.Г.Павлова-2изд-ИЦ РИОР,НИЦ ИНФРА-М,2023-169(Науч.мысль)</t>
  </si>
  <si>
    <t>КОММУНИКАТИВНАЯ ЭФФЕКТИВНОСТЬ ДЕЛОВОГО ОБЩЕНИЯ, ИЗД.2</t>
  </si>
  <si>
    <t>Павлова Л.Г., Кашаева Е.Ю.</t>
  </si>
  <si>
    <t>978-5-369-01461-5</t>
  </si>
  <si>
    <t>08.02.14, 38.03.01, 38.03.03, 41.03.06</t>
  </si>
  <si>
    <t>765616.05.01</t>
  </si>
  <si>
    <t>Комплексная защита картофеля: Моногр. / Под ред. Зейрука В.Н. - М.:НИЦ ИНФРА-М,2026. - 149 с.(п)</t>
  </si>
  <si>
    <t>КОМПЛЕКСНАЯ ЗАЩИТА КАРТОФЕЛЯ</t>
  </si>
  <si>
    <t>Блохин Ю.И., Зейрук В.Н., Васильева С.В. и др.</t>
  </si>
  <si>
    <t>978-5-16-020054-5</t>
  </si>
  <si>
    <t>35.03.04, 35.04.04, 35.06.01</t>
  </si>
  <si>
    <t>694929.04.01</t>
  </si>
  <si>
    <t>Комплексная методика автоматизир.обнаружения..:Моногр. / А.А.Рихтер-М.:НИЦ ИНФРА-М,2023-205с(Науч.мысль)(О)</t>
  </si>
  <si>
    <t>КОМПЛЕКСНАЯ МЕТОДИКА АВТОМАТИЗИРОВАННОГО ОБНАРУЖЕНИЯ И ОЦЕНКИ ПАРАМЕТРОВ ОБЪЕКТОВ ЗАХОРОНЕНИЯ ОТХОДОВ ПО ДАННЫМ КОСМИЧЕСКОЙ СЪЕМКИ</t>
  </si>
  <si>
    <t>Рихтер А.А.</t>
  </si>
  <si>
    <t>978-5-16-014562-4</t>
  </si>
  <si>
    <t>20.04.01, 20.04.02, 20.06.01</t>
  </si>
  <si>
    <t>Научно-исследовательский институт аэрокосмического мониторинга "АЭРОКОСМОС"</t>
  </si>
  <si>
    <t>758410.01.01</t>
  </si>
  <si>
    <t>Комплексная нелекарств. коррек. климактерических расстройств...: Моногр. / Р.Р.Бериханова-М.:НИЦ ИНФРА-М,2022.-251 с.(П)</t>
  </si>
  <si>
    <t>КОМПЛЕКСНАЯ НЕЛЕКАРСТВЕННАЯ КОРРЕКЦИЯ КЛИМАКТЕРИЧЕСКИХ РАССТРОЙСТВ У ПАЦИЕНТОК С МЕТАБОЛИЧЕСКИМ СИНДРОМОМ</t>
  </si>
  <si>
    <t>Бериханова Р.Р., Миненко И.А.</t>
  </si>
  <si>
    <t>978-5-16-017061-9</t>
  </si>
  <si>
    <t>672162.05.01</t>
  </si>
  <si>
    <t>Комплексное медико-псих.-педаг. сопров.лиц...: Моногр./В.Г.Гончарова-М.:НИЦ ИНФРА-М,СФУ,2024-248с(о)</t>
  </si>
  <si>
    <t>КОМПЛЕКСНОЕ МЕДИКО-ПСИХОЛОГО-ПЕДАГОГИЧЕСКОЕ СОПРОВОЖДЕНИЕ ЛИЦ С ОГРАНИЧЕННЫМИ ВОЗМОЖНОСТЯМИ ЗДОРОВЬЯ В УСЛОВИЯХ НЕПРЕРЫВНОГО ИНКЛЮЗИВНОГО ОБРАЗОВАНИЯ</t>
  </si>
  <si>
    <t>Гончарова В.Г., Подопригора В.Г., Гончарова С.И.</t>
  </si>
  <si>
    <t>978-5-16-018908-6</t>
  </si>
  <si>
    <t>44.04.02, 44.04.03, 44.06.01</t>
  </si>
  <si>
    <t>729722.06.01</t>
  </si>
  <si>
    <t>Комплексный анализ и аудит интегрир. отчетности...: Моногр. / В.П.Суйц - М.:НИЦ ИНФРА-М,2025 - 184с(П)</t>
  </si>
  <si>
    <t>КОМПЛЕКСНЫЙ АНАЛИЗ И АУДИТ ИНТЕГРИРОВАННОЙ ОТЧЕТНОСТИ ПО УСТОЙЧИВОМУ РАЗВИТИЮ КОМПАНИЙ</t>
  </si>
  <si>
    <t>Суйц В.П., Хорин А.Н., Шеремет А.Д. и др.</t>
  </si>
  <si>
    <t>978-5-16-015982-9</t>
  </si>
  <si>
    <t>777573.01.01</t>
  </si>
  <si>
    <t>Комплексный подход к изучению природы и целей гос.: Моногр. / А.Г.Чернявский-М.:НИЦ ИНФРА-М,2022.-409 с.(П)</t>
  </si>
  <si>
    <t>КОМПЛЕКСНЫЙ ПОДХОД К ИЗУЧЕНИЮ ПРИРОДЫ И ЦЕЛЕЙ ГОСУДАРСТВА: ПОЛИТИКО-ПРАВОВОЕ ИССЛЕДОВАНИЕ</t>
  </si>
  <si>
    <t>978-5-16-017687-1</t>
  </si>
  <si>
    <t>38.05.01, 40.03.01, 40.04.01, 40.05.01, 40.05.02, 40.05.03, 40.05.04, 40.06.01, 41.03.04</t>
  </si>
  <si>
    <t>649779.04.01</t>
  </si>
  <si>
    <t>Композитные системы с добавлением золы: Моногр. / М.В.Устинова-М:НИЦ ИНФРА-М,2022-71с(Науч.мысль)(О)</t>
  </si>
  <si>
    <t>КОМПОЗИТНЫЕ СИСТЕМЫ С ДОБАВЛЕНИЕМ ЗОЛЫ</t>
  </si>
  <si>
    <t>Устинова М.В., Зубрев Н.И.</t>
  </si>
  <si>
    <t>978-5-16-012743-9</t>
  </si>
  <si>
    <t>08.05.03, 20.03.01, 22.03.01</t>
  </si>
  <si>
    <t>153250.08.01</t>
  </si>
  <si>
    <t>Конвергенция частного и публич. права: пробл. теории и..: Моногр. / Н.М.Коршунов - М.:Юр. НОРМА, ИНФРА-М,2025 - 240 с.(п)</t>
  </si>
  <si>
    <t>КОНВЕРГЕНЦИЯ ЧАСТНОГО И ПУБЛИЧНОГО ПРАВА: ПРОБЛЕМЫ ТЕОРИИ И ПРАКТИКИ</t>
  </si>
  <si>
    <t>Коршунов Н. М.</t>
  </si>
  <si>
    <t>978-5-91768-177-1</t>
  </si>
  <si>
    <t>670769.07.01</t>
  </si>
  <si>
    <t>Конкурентное право: глоссарий понятий / П.В.Самолысов-М.:Юр.Норма, НИЦ ИНФРА-М,2024.-144 с.(О)</t>
  </si>
  <si>
    <t>КОНКУРЕНТНОЕ ПРАВО: ГЛОССАРИЙ ПОНЯТИЙ</t>
  </si>
  <si>
    <t>Самолысов П.В.</t>
  </si>
  <si>
    <t>978-5-91768-875-6</t>
  </si>
  <si>
    <t>727650.04.01</t>
  </si>
  <si>
    <t>Конкурентные закупки. Методология и норматив. регулир. / Д.А.Казанцев-М.:НИЦ ИНФРА-М,2024.-324 с.(Науч.мысль)(О)</t>
  </si>
  <si>
    <t>КОНКУРЕНТНЫЕ ЗАКУПКИ. МЕТОДОЛОГИЯ И НОРМАТИВНОЕ РЕГУЛИРОВАНИЕ</t>
  </si>
  <si>
    <t>978-5-16-015912-6</t>
  </si>
  <si>
    <t>38.03.01, 38.04.01, 38.06.01, 40.04.01, 40.06.01</t>
  </si>
  <si>
    <t>209300.08.01</t>
  </si>
  <si>
    <t>Конкурентные рынки оптовой и розн.электр.в России: Моногр. / В.А.Андреев - М.:НИЦ ИНФРА-М,2025 - 261 с.(О)</t>
  </si>
  <si>
    <t>КОНКУРЕНТНЫЕ РЫНКИ ОПТОВОЙ И РОЗНИЧНОЙ ЭЛЕКТРОЭНЕРГИИ В РОССИИ</t>
  </si>
  <si>
    <t>Андреев В.А., Баронин С.А., Савинов И.О. и др.</t>
  </si>
  <si>
    <t>978-5-16-006824-4</t>
  </si>
  <si>
    <t>38.03.01, 38.04.01, 40.03.01, 40.04.01, 40.05.02</t>
  </si>
  <si>
    <t>415200.08.01</t>
  </si>
  <si>
    <t>Конкурентоориентированность и конкуренто..: Моногр. /С.Д.Резник -2 изд.-М.:НИЦ ИНФРА-М, 2024 -292с(п)</t>
  </si>
  <si>
    <t>КОНКУРЕНТООРИЕНТИРОВАННОСТЬ И КОНКУРЕНТОСПОСОБНОСТЬ СТУДЕНЧЕСКОЙ МОЛОДЕЖИ РОССИИ: ОПЫТ, ПРОБЛЕМЫ, ПЕРСПЕКТИВЫ, ИЗД.2</t>
  </si>
  <si>
    <t>Резник С.Д., Коновалова Е.С., Сочилова А.А. и др.</t>
  </si>
  <si>
    <t>978-5-16-011770-6</t>
  </si>
  <si>
    <t>38.03.01, 38.03.03, 38.04.03, 39.03.01, 39.04.01, 41.03.06</t>
  </si>
  <si>
    <t>700953.05.01</t>
  </si>
  <si>
    <t>Конкурентоспособность и агрострахование: Моногр. / А.А.Брылев-М.:НИЦ ИНФРА-М,2024.-232 с.(Науч.мысль)(О)</t>
  </si>
  <si>
    <t>КОНКУРЕНТОСПОСОБНОСТЬ И АГРОСТРАХОВАНИЕ</t>
  </si>
  <si>
    <t>Брылев А.А., Турчаева И.Н.</t>
  </si>
  <si>
    <t>978-5-16-015148-9</t>
  </si>
  <si>
    <t>Российский государственный аграрный университет - МСХА им. К.А. Тимирязева, Калужский ф-л</t>
  </si>
  <si>
    <t>321900.06.01</t>
  </si>
  <si>
    <t>Конкуренция как основа экономики: Моногр. / Л.С. Архипова. - М.:ИНФРА-М,2023-104с.-(Научн.мысль)(о)</t>
  </si>
  <si>
    <t>КОНКУРЕНЦИЯ КАК ОСНОВА ЭКОНОМИКИ: КОНЦЕПТУАЛЬНЫЕ ПОДХОДЫ К ИССЛЕДОВАНИЮ РОЛИ КОНКУРЕНЦИИ</t>
  </si>
  <si>
    <t>Архипова Л.С., Гагарина Г.Ю., Архипов А.М.</t>
  </si>
  <si>
    <t>978-5-16-010478-2</t>
  </si>
  <si>
    <t>771349.01.01</t>
  </si>
  <si>
    <t>Конкуренция юрисдикций международных судебных орг...: Моногр. / Е.С.Орлова-М.:НИЦ ИНФРА-М,2022.-175с</t>
  </si>
  <si>
    <t>КОНКУРЕНЦИЯ ЮРИСДИКЦИЙ МЕЖДУНАРОДНЫХ СУДЕБНЫХ ОРГАНОВ ПРИ РАССМОТРЕНИИ МЕЖДУНАРОДНЫХ МОРСКИХ СПОРОВ</t>
  </si>
  <si>
    <t>Орлова Е.С.</t>
  </si>
  <si>
    <t>978-5-16-017548-5</t>
  </si>
  <si>
    <t>26.05.05, 40.03.01, 40.04.01, 40.06.01</t>
  </si>
  <si>
    <t>701891.07.01</t>
  </si>
  <si>
    <t>Консервация железных археологич. предметов / И.Ю.Буравлев- 2 изд.-М.:ИЦ РИОР, НИЦ ИНФРА-М,2024.-168 с.(о)</t>
  </si>
  <si>
    <t>КОНСЕРВАЦИЯ ЖЕЛЕЗНЫХ АРХЕОЛОГИЧЕСКИХ ПРЕДМЕТОВ, ИЗД.2</t>
  </si>
  <si>
    <t>Буравлев И.Ю., Цыбульская О.Н., Ярусова С.Б. и др.</t>
  </si>
  <si>
    <t>978-5-369-01802-6</t>
  </si>
  <si>
    <t>46.04.01, 54.02.04</t>
  </si>
  <si>
    <t>Институт химии Дальневосточного отделения Российской академии наук</t>
  </si>
  <si>
    <t>701891.03.01</t>
  </si>
  <si>
    <t>Консервация железных археологических предметов / И.Ю.Буравлев-М.:ИЦ РИОР, НИЦ ИНФРА-М,2021.-168c(О)</t>
  </si>
  <si>
    <t>КОНСЕРВАЦИЯ ЖЕЛЕЗНЫХ АРХЕОЛОГИЧЕСКИХ ПРЕДМЕТОВ</t>
  </si>
  <si>
    <t>454300.07.01</t>
  </si>
  <si>
    <t>Конституционализация права: основы теории: Моногр. / В.И.Крусс - М.:Юр.Норма, НИЦ ИНФРА-М,2025-240с(О)</t>
  </si>
  <si>
    <t>КОНСТИТУЦИОНАЛИЗАЦИЯ ПРАВА: ОСНОВЫ ТЕОРИИ</t>
  </si>
  <si>
    <t>Крусс В.И.</t>
  </si>
  <si>
    <t>978-5-91768-681-3</t>
  </si>
  <si>
    <t>Тверской государственный университет</t>
  </si>
  <si>
    <t>795336.02.01</t>
  </si>
  <si>
    <t>Конституционализация рос. права в учении... / В.В.Комарова - М.:Юр. НОРМА, НИЦ ИНФРА-М,2026. - 368 с.(п)</t>
  </si>
  <si>
    <t>КОНСТИТУЦИОНАЛИЗАЦИЯ РОССИЙСКОГО ПРАВА В УЧЕНИИ АКАДЕМИКА О. Е. КУТАФИНА</t>
  </si>
  <si>
    <t>Комарова В.В., Садовникова Г.Д., Нарутто С.В. и др.</t>
  </si>
  <si>
    <t>978-5-00156-281-8</t>
  </si>
  <si>
    <t>38.05.01, 40.04.01, 40.05.01, 40.05.02, 40.05.03, 40.05.04, 40.06.01, 44.05.01</t>
  </si>
  <si>
    <t>647233.08.01</t>
  </si>
  <si>
    <t>Конституционная реформа в современном мире: Моногр. / Т.Я.Хабриева-М.:НИЦ ИНФРА-М,2023-308с.(П)</t>
  </si>
  <si>
    <t>КОНСТИТУЦИОННАЯ РЕФОРМА В СОВРЕМЕННОМ МИРЕ</t>
  </si>
  <si>
    <t>978-5-16-012044-7</t>
  </si>
  <si>
    <t>246900.10.01</t>
  </si>
  <si>
    <t>Конституционная терминология: Моногр. / В.Е.Чиркин - М.:Юр.Норма,НИЦ ИНФРА-М,2026 - 272 с.(п)</t>
  </si>
  <si>
    <t>КОНСТИТУЦИОННАЯ ТЕРМИНОЛОГИЯ</t>
  </si>
  <si>
    <t>978-5-91768-439-0</t>
  </si>
  <si>
    <t>720670.03.01</t>
  </si>
  <si>
    <t>Конституционная юстиция в странах Восточной Европы...: Моногр. / Я.Залесны-М.:Юр.Норма,2024.-672 с.(П)</t>
  </si>
  <si>
    <t>КОНСТИТУЦИОННАЯ ЮСТИЦИЯ В СТРАНАХ ВОСТОЧНОЙ ЕВРОПЫ: ПРОБЛЕМЫ ТЕОРИИ И ПРАКТИКИ</t>
  </si>
  <si>
    <t>Залесны Я.</t>
  </si>
  <si>
    <t>978-5-00156-029-6</t>
  </si>
  <si>
    <t>40.03.01, 40.05.01, 40.05.02, 40.06.01</t>
  </si>
  <si>
    <t>404200.07.01</t>
  </si>
  <si>
    <t>Конституционное право. Общая теор. гос.: Моногр./ Л. Дюги. - М.: НИЦ ИНФРА-М,2023-427с.(Науч. мысль) (п)</t>
  </si>
  <si>
    <t>КОНСТИТУЦИОННОЕ ПРАВО. ОБЩАЯ ТЕОРИЯ ГОСУДАРСТВА</t>
  </si>
  <si>
    <t>Дюги Л.</t>
  </si>
  <si>
    <t>978-5-16-006120-7</t>
  </si>
  <si>
    <t>771234.01.01</t>
  </si>
  <si>
    <t>Конституционное правообразование в РФ: Моногр. / Д.С.Дерхо-М.:НИЦ ИНФРА-М,2022.-197 с.(Науч.мысль)(П)</t>
  </si>
  <si>
    <t>КОНСТИТУЦИОННОЕ ПРАВООБРАЗОВАНИЕ В РОССИЙСКОЙ ФЕДЕРАЦИИ</t>
  </si>
  <si>
    <t>Дерхо Д.С.</t>
  </si>
  <si>
    <t>978-5-16-017516-4</t>
  </si>
  <si>
    <t>38.05.01, 40.03.01, 40.05.01, 40.05.02, 40.05.03, 40.05.04, 40.06.01</t>
  </si>
  <si>
    <t>Арбитражный суд Западно-Сибирского округа</t>
  </si>
  <si>
    <t>084150.10.01</t>
  </si>
  <si>
    <t>Конституционное развит.в совр. мире. Осн. тенденции: Моногр. /Р.В.Енгибарян - М.:НОРМА, 2024-496с(п)</t>
  </si>
  <si>
    <t>КОНСТИТУЦИОННОЕ РАЗВИТИЕ В СОВРЕМЕННОМ МИРЕ. ОСНОВНЫЕ ТЕНДЕНЦИИ</t>
  </si>
  <si>
    <t>Енгибарян Р.В.</t>
  </si>
  <si>
    <t>978-5-91768-748-3</t>
  </si>
  <si>
    <t>444300.06.01</t>
  </si>
  <si>
    <t>Конституционно-прав. основы взаим. общ. объед....: Моногр./Васильев С.А.-2изд.-М.: Вуз.уч.,НИЦ ИНФРА-М,2024-116с.(о)</t>
  </si>
  <si>
    <t>КОНСТИТУЦИОННО-ПРАВОВЫЕ ОСНОВЫ ВЗАИМОДЕЙСТВИЯ ОБЩЕСТВЕННЫХ ОБЪЕДИНЕНИЙ С ПРАВООХРАНИТЕЛЬНЫМИ ОРГАНАМИ РОССИИ В СФЕРЕ ЗАЩИТЫ ПРАВ И СВОБОД ЧЕЛОВЕКА И ГРАЖДАНИНА, ИЗД.2</t>
  </si>
  <si>
    <t>Васильев С.А.</t>
  </si>
  <si>
    <t>978-5-9558-0469-9</t>
  </si>
  <si>
    <t>675038.03.01</t>
  </si>
  <si>
    <t>Конституционно-правовая полит.совр. России:Моногр. /Баранов П.П.-М.:ИЦ РИОР,НИЦ ИНФРА-М,2020-248с(О)</t>
  </si>
  <si>
    <t>КОНСТИТУЦИОННО-ПРАВОВАЯ ПОЛИТИКА СОВРЕМЕННОЙ РОССИИ</t>
  </si>
  <si>
    <t>Баранов П.П., Овчинников А.И., Мамычев А.Ю.</t>
  </si>
  <si>
    <t>978-5-369-01747-0</t>
  </si>
  <si>
    <t>38.03.04, 38.04.04, 40.02.02, 40.02.04, 40.03.01, 40.05.01, 40.05.02, 40.05.03, 44.03.05</t>
  </si>
  <si>
    <t>Российская академия народного хозяйства и государственной службы при Президенте РФ, ф-л Южно-Российский институт управления</t>
  </si>
  <si>
    <t>148000.01.01</t>
  </si>
  <si>
    <t>Конституционно-правовое развитие России / В.Д. Зорькин. - М.: Норма:  ИНФРА-М, 2011. - 720 с. (п) ISBN:978-5-91768-221-1</t>
  </si>
  <si>
    <t>КОНСТИТУЦИОННО-ПРАВОВОЕ РАЗВИТИЕ РОССИИ</t>
  </si>
  <si>
    <t>Зорькин В. Д.</t>
  </si>
  <si>
    <t>978-5-91768-221-1</t>
  </si>
  <si>
    <t>38.03.04, 40.02.02, 40.02.04, 40.03.01, 40.04.01, 40.05.01, 40.05.02, 40.05.03, 44.03.05</t>
  </si>
  <si>
    <t>148000.05.01</t>
  </si>
  <si>
    <t>Конституционно-правовое развитие России / В.Д.Зорькин, - 2-е изд.-М.:Юр.Норма,2023.-448 с.(П)</t>
  </si>
  <si>
    <t>КОНСТИТУЦИОННО-ПРАВОВОЕ РАЗВИТИЕ РОССИИ, ИЗД.2</t>
  </si>
  <si>
    <t>978-5-91768-993-7</t>
  </si>
  <si>
    <t>706844.02.01</t>
  </si>
  <si>
    <t>Конституционно-правовые основы институц.гражд.общ.в РФ:Моногр./Е.Е.Никитина-М.:НИЦ ИНФРА-М,2023-280с</t>
  </si>
  <si>
    <t>КОНСТИТУЦИОННО-ПРАВОВЫЕ ОСНОВЫ ИНСТИТУЦИОНАЛИЗАЦИИ ГРАЖДАНСКОГО ОБЩЕСТВА В РОССИЙСКОЙ ФЕДЕРАЦИИ</t>
  </si>
  <si>
    <t>Никитина Е.Е.</t>
  </si>
  <si>
    <t>978-5-16-015124-3</t>
  </si>
  <si>
    <t>38.03.04, 40.02.02, 40.02.04, 40.03.01, 40.05.01, 40.05.02, 40.05.03, 44.03.05</t>
  </si>
  <si>
    <t>773477.04.01</t>
  </si>
  <si>
    <t>Конституционные основы гос. эколог. политики: Моногр. / И.О.Краснова - М.:Юр.НОРМА,НИЦ ИНФРА-М,2024-92с(о)</t>
  </si>
  <si>
    <t>КОНСТИТУЦИОННЫЕ ОСНОВЫ ГОСУДАРСТВЕННОЙ ЭКОЛОГИЧЕСКОЙ ПОЛИТИКИ</t>
  </si>
  <si>
    <t>Краснова И.О.</t>
  </si>
  <si>
    <t>978-5-00156-226-9</t>
  </si>
  <si>
    <t>461600.05.01</t>
  </si>
  <si>
    <t>Конституционные основы разграничения...: Моногр. /А.Е.Постников -М.: НИЦ ИНФРА-М, 2020- 237с( ИЗиСП)</t>
  </si>
  <si>
    <t>КОНСТИТУЦИОННЫЕ ОСНОВЫ РАЗГРАНИЧЕНИЯ ПОЛНОМОЧИЙ МЕЖДУ ОРГАНАМИ ПУБЛИЧНОЙ ВЛАСТИ</t>
  </si>
  <si>
    <t>Постников А.Е., Андриченко Л.В., Помазанский А.Е. и др.</t>
  </si>
  <si>
    <t>978-5-16-011507-8</t>
  </si>
  <si>
    <t>Одобрено секцией «Публичное право» Ученого совета Федерального государственного научно-исследовательского учреждения «Институт законодательства и сравнительного правоведения при Правительстве Российской Федерации»</t>
  </si>
  <si>
    <t>704208.05.01</t>
  </si>
  <si>
    <t>Конституционные стандарты суд. защиты прав чел. в России: Моногр. / Е.М.Переплеснина - М.:Юр.Норма,2024. - 368с</t>
  </si>
  <si>
    <t>КОНСТИТУЦИОННЫЕ СТАНДАРТЫ СУДЕБНОЙ ЗАЩИТЫ ПРАВ ЧЕЛОВЕКА В РОССИИ</t>
  </si>
  <si>
    <t>Переплеснина Е.М.</t>
  </si>
  <si>
    <t>978-5-91768-609-7</t>
  </si>
  <si>
    <t>Верховный Суд Республики Карелия</t>
  </si>
  <si>
    <t>760130.01.01</t>
  </si>
  <si>
    <t>Конституционный Суд РФ. Решения. 2020: Сб. док./ Отв.ред. Маврин С.П.-М.:Юр.Норма, НИЦ ИНФРА-М,2021.-1120 с.(П)</t>
  </si>
  <si>
    <t>КОНСТИТУЦИОННЫЙ СУД РОССИЙСКОЙ ФЕДЕРАЦИИ. РЕШЕНИЯ. 2020</t>
  </si>
  <si>
    <t>Маврин С.П.</t>
  </si>
  <si>
    <t>Переплет 7</t>
  </si>
  <si>
    <t>978-5-00156-184-2</t>
  </si>
  <si>
    <t>781248.01.01</t>
  </si>
  <si>
    <t>Конституционный Суд РФ. Решения. 2021: Сб. документов-М.:Юр. НОРМА,2022.-1168 с.(П)</t>
  </si>
  <si>
    <t>КОНСТИТУЦИОННЫЙ СУД РФ. РЕШЕНИЯ. 2021</t>
  </si>
  <si>
    <t>978-5-00156-233-7</t>
  </si>
  <si>
    <t>806115.01.01</t>
  </si>
  <si>
    <t>Конституционный Суд РФ. Решения. 2022: Сб. документов - М.:Юр. НОРМА,2023.-1216 с.(п)</t>
  </si>
  <si>
    <t>КОНСТИТУЦИОННЫЙ СУД РОССИЙСКОЙ ФЕДЕРАЦИИ. РЕШЕНИЯ. 2022</t>
  </si>
  <si>
    <t>978-5-00156-307-5</t>
  </si>
  <si>
    <t>38.05.01, 40.05.01, 40.05.02, 40.05.03, 40.05.04, 40.06.01</t>
  </si>
  <si>
    <t>682617.04.01</t>
  </si>
  <si>
    <t>Конституционный Суд РФ: реализ. правозащ. функции: Моногр./Добрынин Н.М.-М.:НИЦ ИНФРА-М,2023-184с(о)</t>
  </si>
  <si>
    <t>КОНСТИТУЦИОННЫЙ СУД РОССИЙСКОЙ ФЕДЕРАЦИИ: РЕАЛИЗАЦИЯ ПРАВОЗАЩИТНОЙ ФУНКЦИИ</t>
  </si>
  <si>
    <t>Карасев Р.Е., Авакьян С.А., Добрынин Н.М.</t>
  </si>
  <si>
    <t>978-5-16-018033-5</t>
  </si>
  <si>
    <t>036540.30.01</t>
  </si>
  <si>
    <t>Конституция РФ - М.:НИЦ ИНФРА-М,2026 - 70 с.(о)</t>
  </si>
  <si>
    <t>КОНСТИТУЦИЯ РОССИЙСКОЙ ФЕДЕРАЦИИ</t>
  </si>
  <si>
    <t>978-5-16-016390-1</t>
  </si>
  <si>
    <t>0102</t>
  </si>
  <si>
    <t>024981.22.01</t>
  </si>
  <si>
    <t>Конституция РФ с коммент. Конституционного Суда РФ - 10 изд. - М.:НИЦ ИНФРА-М,2020 - 206 с.(О)</t>
  </si>
  <si>
    <t>КОНСТИТУЦИЯ РОССИЙСКОЙ ФЕДЕРАЦИИ С КОММЕНТАРИЯМИ КОНСТИТУЦИОННОГО СУДА РФ, ИЗД.10</t>
  </si>
  <si>
    <t>978-5-16-011212-1</t>
  </si>
  <si>
    <t>1016</t>
  </si>
  <si>
    <t>024981.24.01</t>
  </si>
  <si>
    <t>Конституция РФ с коммент. Конституционного Суда РФ - 11 изд. - М.:НИЦ ИНФРА-М,2022 - 256 с.(О)</t>
  </si>
  <si>
    <t>КОНСТИТУЦИЯ РОССИЙСКОЙ ФЕДЕРАЦИИ С КОММЕНТАРИЯМИ КОНСТИТУЦИОННОГО СУДА РФ, ИЗД.11</t>
  </si>
  <si>
    <t>978-5-16-016391-8</t>
  </si>
  <si>
    <t>024981.28.01</t>
  </si>
  <si>
    <t>Конституция РФ с коммент. Конституционного Суда РФ - 12 изд. - М.:НИЦ ИНФРА-М,2025 - 256 с.(О)</t>
  </si>
  <si>
    <t>КОНСТИТУЦИЯ РОССИЙСКОЙ ФЕДЕРАЦИИ С КОММЕНТАРИЯМИ КОНСТИТУЦИОННОГО СУДА РФ, ИЗД.12</t>
  </si>
  <si>
    <t>978-5-16-018169-1</t>
  </si>
  <si>
    <t>1223</t>
  </si>
  <si>
    <t>753345.07.01</t>
  </si>
  <si>
    <t>Конституция РФ. Офиц. текст / Вступ. статья Т.Я.Хабриевой - М.:Юр.Норма, НИЦ ИНФРА-М,2026 - 136 с.(П.к/ф)</t>
  </si>
  <si>
    <t>КОНСТИТУЦИЯ РОССИЙСКОЙ ФЕДЕРАЦИИ. ОФИЦИАЛЬНЫЙ ТЕКСТ.ВСТУПИТЕЛЬНАЯ СТАТЬЯ Т.Я.ХАБРИЕВОЙ</t>
  </si>
  <si>
    <t>978-5-00156-160-6</t>
  </si>
  <si>
    <t>00.02.08, 00.03.08, 00.05.08, 40.03.01</t>
  </si>
  <si>
    <t>823053.01.01</t>
  </si>
  <si>
    <t>Конституция РФ.ФКС "О Государственном флаге РФ-М.:Юр. НОРМА, НИЦ ИНФРА-М,2024.-160с.(п.к/ф)</t>
  </si>
  <si>
    <t>КОНСТИТУЦИЯ РОССИЙСКОЙ ФЕДЕРАЦИИ.ОФИЦИАЛЬНЫЙ ТЕКСТ С ИЗМЕНЕНИЯМИ. ФЕДЕРАЛЬНЫЕ КОНСТИТУЦИОННЫЕ ЗАКОНЫ "О ГОСУДАРСТВЕННОМ ФЛАГЕ РОССИЙСКОЙ ФЕДЕРАЦИИ", "</t>
  </si>
  <si>
    <t>978-5-00156-358-7</t>
  </si>
  <si>
    <t>40.02.02, 40.03.01, 40.05.01, 40.05.02, 40.05.03, 40.05.04, 44.03.05</t>
  </si>
  <si>
    <t>742031.07.01</t>
  </si>
  <si>
    <t>Конституция РФ: Официальный текст - М.:Юр.Норма, НИЦ ИНФРА-М,2023 - 120 с.(О)</t>
  </si>
  <si>
    <t>КОНСТИТУЦИЯ РФ: ОФИЦИАЛЬНЫЙ ТЕКСТ</t>
  </si>
  <si>
    <t>978-5-00156-095-1</t>
  </si>
  <si>
    <t>38.03.04, 40.02.02, 40.02.04, 40.03.01, 40.04.01, 40.05.01, 40.05.02, 40.05.03, 40.05.04</t>
  </si>
  <si>
    <t>797807.01.01</t>
  </si>
  <si>
    <t>Конструкционный бетон с комплекс. доб. гидротерм. нанокремнезема..: Моногр. / С.Н.Леонович-М.:НИЦ ИНФРА-М,2023-242с.(о)</t>
  </si>
  <si>
    <t>КОНСТРУКЦИОННЫЙ БЕТОН С КОМПЛЕКСНОЙ ДОБАВКОЙ ГИДРОТЕРМАЛЬНОГО НАНОКРЕМНЕЗЕМА И УГЛЕРОДНЫХ НАНОТРУБОК</t>
  </si>
  <si>
    <t>Полонина Е.Н., Леонович С.Н.</t>
  </si>
  <si>
    <t>978-5-16-018340-4</t>
  </si>
  <si>
    <t>08.03.01, 08.05.01, 08.06.01, 20.03.01, 21.03.02, 23.03.02, 23.05.06, 27.03.02</t>
  </si>
  <si>
    <t>702443.05.01</t>
  </si>
  <si>
    <t>Конструкция и динамика электрич. подвиж. сост.: Моногр. / А.С.Мазнев - М.:НИЦ ИНФРА-М,2024-248 с.(Науч.мысль)(П)</t>
  </si>
  <si>
    <t>КОНСТРУКЦИЯ И ДИНАМИКА ЭЛЕКТРИЧЕСКОГО ПОДВИЖНОГО СОСТАВА</t>
  </si>
  <si>
    <t>Мазнев А.С., Евстафьев А.М.</t>
  </si>
  <si>
    <t>978-5-16-015026-0</t>
  </si>
  <si>
    <t>23.05.03, 23.06.01</t>
  </si>
  <si>
    <t>Петербургский государственный университет путей сообщения Императора Александра I</t>
  </si>
  <si>
    <t>848698.01.01</t>
  </si>
  <si>
    <t>Контакты иных степеней: Моногр. / С.В.Борзых - М.:НИЦ ИНФРА-М,2025. - 166 с.-(Науч.мысль)(о)</t>
  </si>
  <si>
    <t>КОНТАКТЫ ИНЫХ СТЕПЕНЕЙ</t>
  </si>
  <si>
    <t>978-5-16-020637-0</t>
  </si>
  <si>
    <t>764287.02.01</t>
  </si>
  <si>
    <t>Контроль и надзор как гарантии законности: теор..: Моногр. / С.Г.Нистратов-М.:НИЦ ИНФРА-М,2022.-186 с.(Науч.мысль)(П)</t>
  </si>
  <si>
    <t>КОНТРОЛЬ И НАДЗОР КАК ГАРАНТИИ ЗАКОННОСТИ: ТЕОРЕТИКО-ПРАВОВОЙ АСПЕКТ</t>
  </si>
  <si>
    <t>Нистратов С.Г., Редько А.А.</t>
  </si>
  <si>
    <t>978-5-16-017176-0</t>
  </si>
  <si>
    <t>789951.01.01</t>
  </si>
  <si>
    <t>Контрольно-надзорная деят. таможенных орг... / С.А.Агамагомедова-М.:НИЦ ИНФРА-М,2023 -178 с.(О)</t>
  </si>
  <si>
    <t>КОНТРОЛЬНО-НАДЗОРНАЯ ДЕЯТЕЛЬНОСТЬ ТАМОЖЕННЫХ ОРГАНОВ В УСЛОВИЯХ ЦИФРОВИЗАЦИИ И ИНТЕГРАЦИИ ЭКОНОМИКИ</t>
  </si>
  <si>
    <t>Агамагомедова С.А.</t>
  </si>
  <si>
    <t>978-5-16-018043-4</t>
  </si>
  <si>
    <t>38.05.02, 38.06.01, 40.04.01, 40.06.01</t>
  </si>
  <si>
    <t>766070.01.01</t>
  </si>
  <si>
    <t>Контуры и профили культуры США в XIX столетии: Моногр. / Т.В.Алентьева - М.:НИЦ ИНФРА-М,2022 - 436 с.(П)</t>
  </si>
  <si>
    <t>КОНТУРЫ И ПРОФИЛИ КУЛЬТУРЫ США В XIX СТОЛЕТИИ</t>
  </si>
  <si>
    <t>978-5-16-017255-2</t>
  </si>
  <si>
    <t>46.03.01, 50.03.03, 50.03.04, 50.04.03, 50.04.04, 51.04.01</t>
  </si>
  <si>
    <t>823850.01.01</t>
  </si>
  <si>
    <t>Конфедерации прошлого и настоящего...: Моногр. / А.В.Макутчев - М.:НИЦ ИНФРА-М,2025. - 419 с.(п)</t>
  </si>
  <si>
    <t>КОНФЕДЕРАЦИИ ПРОШЛОГО И НАСТОЯЩЕГО: ИСТОРИКО-ПРАВОВОЙ АНАЛИЗ</t>
  </si>
  <si>
    <t>Макутчев А.В.</t>
  </si>
  <si>
    <t>978-5-16-019810-1</t>
  </si>
  <si>
    <t>40.03.01, 40.04.01, 40.06.01, 41.04.05, 41.06.01</t>
  </si>
  <si>
    <t>Тульский государственный педагогический университет им. Л.Н. Толстого</t>
  </si>
  <si>
    <t>795913.01.01</t>
  </si>
  <si>
    <t>Конфликтно-активное управление проектами разв. систем..: Моногр. / Новосельцев В.И.-М.:НИЦ ИНФРА-М,2023-235с.(п)</t>
  </si>
  <si>
    <t>КОНФЛИКТНО-АКТИВНОЕ УПРАВЛЕНИЕ ПРОЕКТАМИ РАЗВИТИЯ СИСТЕМ ОБЕСПЕЧЕНИЯ ИНФОРМАЦИОННОЙ БЕЗОПАСНОСТИ ИНФОКОММУНИКАЦИОННЫХ СЕТЕЙ</t>
  </si>
  <si>
    <t>Новосельцев В.И., Кочедыков С.С., Орлова Д.Е. и др.</t>
  </si>
  <si>
    <t>978-5-16-018194-3</t>
  </si>
  <si>
    <t>10.04.01, 10.05.02, 10.06.01</t>
  </si>
  <si>
    <t>646394.05.01</t>
  </si>
  <si>
    <t>Концептуализации общ. в соц. философской..: Моногр. / К.Х.Момджян. - М.:НИЦ ИНФРА-М,2025 - 350 с.(П)</t>
  </si>
  <si>
    <t>КОНЦЕПТУАЛИЗАЦИИ ОБЩЕСТВА В СОЦИАЛЬНОЙ ФИЛОСОФСКОЙ И ФИЛОСОФСКО-ИСТОРИЧЕСКОЙ РЕФЛЕКСИИ</t>
  </si>
  <si>
    <t>Момджян К.Х., Антоновский А.Ю., Семенов Ю.И. и др.</t>
  </si>
  <si>
    <t>978-5-16-020588-5</t>
  </si>
  <si>
    <t>39.04.01, 47.03.01</t>
  </si>
  <si>
    <t>Московский государственный университет им. М.В. Ломоносова, философский факультет</t>
  </si>
  <si>
    <t>815243.01.01</t>
  </si>
  <si>
    <t>Концептуально-теоретический анализ...: Моногр. / Д.А.Кощеев-М.:НИЦ ИНФРА-М,2024.-450 с.(Науч.мысль)(п)</t>
  </si>
  <si>
    <t>КОНЦЕПТУАЛЬНО-ТЕОРЕТИЧЕСКИЙ АНАЛИЗ: ИСТОРИЯ, ПОДХОДЫ, МЕТОДИКИ</t>
  </si>
  <si>
    <t>Кощеев Д.А., Исопескуль О.Ю.</t>
  </si>
  <si>
    <t>978-5-16-019326-7</t>
  </si>
  <si>
    <t>00.04.16, 00.05.16, 00.06.01</t>
  </si>
  <si>
    <t>Национальный исследовательский университет "Высшая школа экономики", Пермский ф-л</t>
  </si>
  <si>
    <t>384700.05.01</t>
  </si>
  <si>
    <t>Концептуальные основы конкуренции угол..: Моногр. /Л.В.Иногамова-Хегай-Юр.Норма,НИЦ ИНФРА-М,2024-288с.(о)</t>
  </si>
  <si>
    <t>КОНЦЕПТУАЛЬНЫЕ ОСНОВЫ КОНКУРЕНЦИИ УГОЛОВНО-ПРАВОВЫХ НОРМ</t>
  </si>
  <si>
    <t>Л.В.Иногамова-Хегай</t>
  </si>
  <si>
    <t>978-5-91768-647-9</t>
  </si>
  <si>
    <t>704969.02.01</t>
  </si>
  <si>
    <t>Концептуальные теоретико-методологич. аспекты бух. учета / М.Д.Акатьева-М.:НИЦ ИНФРА-М,2023.-172с(О)</t>
  </si>
  <si>
    <t>КОНЦЕПТУАЛЬНЫЕ ТЕОРЕТИКО-МЕТОДОЛОГИЧЕСКИЕ АСПЕКТЫ БУХГАЛТЕРСКОГО УЧЕТА</t>
  </si>
  <si>
    <t>978-5-16-015072-7</t>
  </si>
  <si>
    <t>315400.11.01</t>
  </si>
  <si>
    <t>Концепция борьбы с организованной и коррупц. преступ..: Моногр. / В.Е.Эминов - Норма: ИНФРА-М,2025-80с(О)</t>
  </si>
  <si>
    <t>КОНЦЕПЦИЯ БОРЬБЫ С ОРГАНИЗОВАННОЙ И КОРРУПЦИОННОЙ ПРЕСТУПНОСТЬЮ В РОССИИ</t>
  </si>
  <si>
    <t>Эминов В. Е., Максимов С. В.</t>
  </si>
  <si>
    <t>978-5-91768-550-2</t>
  </si>
  <si>
    <t>331600.03.01</t>
  </si>
  <si>
    <t>Концепция внутреннего контроля эффект..: Моногр. / Под ред. Казаковой Н.А.-М.:НИЦ ИНФРА-М,2018-234с</t>
  </si>
  <si>
    <t>КОНЦЕПЦИЯ ВНУТРЕННЕГО КОНТРОЛЯ ЭФФЕКТИВНОСТИ ОРГАНИЗАЦИИ</t>
  </si>
  <si>
    <t>Казакова Н.А., Ефремова Е.И., Казакова Н.А.</t>
  </si>
  <si>
    <t>978-5-16-010626-7</t>
  </si>
  <si>
    <t>221400.10.01</t>
  </si>
  <si>
    <t>Концепция глобализации: Моногр. / С.В.Борзых - М.:НИЦ ИНФРА-М,2026. - 128 с.(Науч.мысль)(о)</t>
  </si>
  <si>
    <t>КОНЦЕПЦИЯ ГЛОБАЛИЗАЦИИ</t>
  </si>
  <si>
    <t>978-5-16-008971-3</t>
  </si>
  <si>
    <t>244600.09.01</t>
  </si>
  <si>
    <t>Концепция компетентностного подхода в упр. персоналом: Моногр./ А.Я.Кибанов -М.:НИЦ ИНФРА-М,2024-156 с(О)</t>
  </si>
  <si>
    <t>КОНЦЕПЦИЯ КОМПЕТЕНТНОСТНОГО ПОДХОДА В УПРАВЛЕНИИ ПЕРСОНАЛОМ</t>
  </si>
  <si>
    <t>Кибанов А.Я., Митрофанова Е.А., Коновалова В.Г. и др.</t>
  </si>
  <si>
    <t>978-5-16-009530-1</t>
  </si>
  <si>
    <t>820835.01.01</t>
  </si>
  <si>
    <t>Концепция обеспеч. качества чел. ресурс..: Моногр. / Ю.А.Масалова - М.:НИЦ ИНФРА-М,2024. - 229 с.(п)</t>
  </si>
  <si>
    <t>КОНЦЕПЦИЯ ОБЕСПЕЧЕНИЯ КАЧЕСТВА ЧЕЛОВЕЧЕСКИХ РЕСУРСОВ НАУЧНО-ОБРАЗОВАТЕЛЬНОЙ ЭКОСИСТЕМЫ</t>
  </si>
  <si>
    <t>Масалова Ю.А.</t>
  </si>
  <si>
    <t>978-5-16-019874-3</t>
  </si>
  <si>
    <t>38.04.01, 38.04.02, 38.04.03, 38.06.01</t>
  </si>
  <si>
    <t>Новосибирский государственный университет экономики и управления</t>
  </si>
  <si>
    <t>707282.02.01</t>
  </si>
  <si>
    <t>Концепция опережающего развития экспорта продукции...: Моногр. / В.И.Брутер-М.:НИЦ ИНФРА-М,2023.-213с(О)</t>
  </si>
  <si>
    <t>КОНЦЕПЦИЯ ОПЕРЕЖАЮЩЕГО РАЗВИТИЯ ЭКСПОРТА ПРОДУКЦИИ АГРОПРОМЫШЛЕННОГО КОМПЛЕКСА РОССИИ ДО 2024 ГОДА</t>
  </si>
  <si>
    <t>Брутер В.И., Елина О.А.</t>
  </si>
  <si>
    <t>978-5-16-015310-0</t>
  </si>
  <si>
    <t>35.06.01, 38.04.01, 38.04.02, 38.06.01</t>
  </si>
  <si>
    <t>670051.03.01</t>
  </si>
  <si>
    <t>Концепция повышения эффект.универ.малогабар.погрузч.:Моногр./ В.В.Минин-М.:НИЦ ИНФРА-М,СФУ,2023-303с</t>
  </si>
  <si>
    <t>КОНЦЕПЦИЯ ПОВЫШЕНИЯ ЭФФЕКТИВНОСТИ УНИВЕРСАЛЬНЫХ МАЛОГАБАРИТНЫХ ПОГРУЗЧИКОВ</t>
  </si>
  <si>
    <t>Минин В.В.</t>
  </si>
  <si>
    <t>978-5-16-013359-1</t>
  </si>
  <si>
    <t>23.04.01, 23.04.02, 23.04.03, 23.06.01</t>
  </si>
  <si>
    <t>776630.05.01</t>
  </si>
  <si>
    <t>Концепция построения уголов. судопроизводства... / Л.Н.Масленникова - М.:Юр. НОРМА, НИЦ ИНФРА-М,2025 - 664 с.(П)</t>
  </si>
  <si>
    <t>КОНЦЕПЦИЯ ПОСТРОЕНИЯ УГОЛОВНОГО СУДОПРОИЗВОДСТВА, ОБЕСПЕЧИВАЮЩЕГО ДОСТУП К ПРАВОСУДИЮ В УСЛОВИЯХ РАЗВИТИЯ ЦИФРОВЫХ ТЕХНОЛОГИЙ</t>
  </si>
  <si>
    <t>Масленникова Л.Н., Вилкова Т.Ю., Собенин А.А. и др.</t>
  </si>
  <si>
    <t>978-5-00156-242-9</t>
  </si>
  <si>
    <t>40.02.02, 40.05.01, 40.05.02, 40.05.03, 40.05.04, 40.06.01</t>
  </si>
  <si>
    <t>754805.01.01</t>
  </si>
  <si>
    <t>Концепция развития стратегич. активов фондоемких компаний / Н.А.Казакова-М.:НИЦ ИНФРА-М,2021.-183 с.(О)</t>
  </si>
  <si>
    <t>КОНЦЕПЦИЯ РАЗВИТИЯ СТРАТЕГИЧЕСКИХ АКТИВОВ ФОНДОЕМКИХ КОМПАНИЙ</t>
  </si>
  <si>
    <t>Казакова Н.А., Иванова А.Н.</t>
  </si>
  <si>
    <t>978-5-16-016910-1</t>
  </si>
  <si>
    <t>777628.04.01</t>
  </si>
  <si>
    <t>Концепция семьи в творчестве И.С.Тургенева..: Моногр. / М.А.Курбакова - М.:НИЦ ИНФРА-М,2025. - 217 с.(о)</t>
  </si>
  <si>
    <t>КОНЦЕПЦИЯ СЕМЬИ В ТВОРЧЕСТВЕ И.С.ТУРГЕНЕВА . СЕМЬЯНИН ИЛИ СТРАННИК?</t>
  </si>
  <si>
    <t>Курбакова М.А.</t>
  </si>
  <si>
    <t>978-5-16-017745-8</t>
  </si>
  <si>
    <t>44.03.05, 44.04.01, 45.04.01, 45.06.01</t>
  </si>
  <si>
    <t>АКАДЕМУС-2021, Победитель, III место</t>
  </si>
  <si>
    <t>678946.04.01</t>
  </si>
  <si>
    <t>Концепция создания продукции и достиж.мир.уровня: Моногр./ Б.А.Аникин-М.:НИЦ ИНФРА-М,2023-178с(О)</t>
  </si>
  <si>
    <t>КОНЦЕПЦИЯ СОЗДАНИЯ ПРОДУКЦИИ И ДОСТИЖЕНИЙ МИРОВОГО УРОВНЯ</t>
  </si>
  <si>
    <t>Аникин Б.А., Аникин О.Б., Гришин В.Н.</t>
  </si>
  <si>
    <t>978-5-16-013715-5</t>
  </si>
  <si>
    <t>27.03.05, 27.04.07, 38.03.01</t>
  </si>
  <si>
    <t>786671.01.01</t>
  </si>
  <si>
    <t>Концепция формирования soft skills выпуск. вузов: Моногр. / О.Л.Чуланова-М.:НИЦ ИНФРА-М,2023.-147 с.(о)</t>
  </si>
  <si>
    <t>КОНЦЕПЦИЯ ФОРМИРОВАНИЯ SOFT SKILLS ВЫПУСКНИКОВ ВУЗОВ</t>
  </si>
  <si>
    <t>Богдан Е.С., Чуланова О.Л.</t>
  </si>
  <si>
    <t>978-5-16-018178-3</t>
  </si>
  <si>
    <t>Сургутский государственный университет</t>
  </si>
  <si>
    <t>756174.08.01</t>
  </si>
  <si>
    <t>Концепция цифр. гос. и цифр. правовой среды: Моногр. / Д.А.Пашенцев. - М.:Юр.Норма, НИЦ ИНФРА-М,2026 -244с(П)</t>
  </si>
  <si>
    <t>КОНЦЕПЦИЯ ЦИФРОВОГО ГОСУДАРСТВА И ЦИФРОВОЙ ПРАВОВОЙ СРЕДЫ</t>
  </si>
  <si>
    <t>Пашенцев Д.А., Дорская А.А., Залоило М.В.</t>
  </si>
  <si>
    <t>978-5-00156-164-4</t>
  </si>
  <si>
    <t>288700.04.01</t>
  </si>
  <si>
    <t>Кооперативное предпринимат. как институт соц. развития/В.В.Трошихин-М.:ИЦ РИОР, НИЦ ИНФРА-М,2024.-512 с.(О)</t>
  </si>
  <si>
    <t>КООПЕРАТИВНОЕ ПРЕДПРИНИМАТЕЛЬСТВО КАК ИНСТИТУТ СОЦИАЛЬНОГО РАЗВИТИЯ</t>
  </si>
  <si>
    <t>Трошихин В.В., Матузенко Е.В., Нестерова Л.И.</t>
  </si>
  <si>
    <t>978-5-369-01365-6</t>
  </si>
  <si>
    <t>38.03.01, 38.03.02, 38.04.01, 38.04.02, 43.03.01</t>
  </si>
  <si>
    <t>Белгородский университет кооперации, экономики и права</t>
  </si>
  <si>
    <t>698859.03.01</t>
  </si>
  <si>
    <t>Кооперационно-сетевые  взаимодействия как ресурс: Моногр./ Куимов В.В.-М.:НИЦ ИНФРА-М,2023-225с)(О)</t>
  </si>
  <si>
    <t>КООПЕРАЦИОННО-СЕТЕВЫЕ  ВЗАИМОДЕЙСТВИЯ КАК РЕСУРС САМООРГАНИЗАЦИИ И ДОСТИЖЕНИЯ КАЧЕСТВЕННЫХ РЕЗУЛЬТАТОВ</t>
  </si>
  <si>
    <t>Куимов В.В., Суслова Ю.Ю., Щербенко Е.В. и др.</t>
  </si>
  <si>
    <t>978-5-16-018490-6</t>
  </si>
  <si>
    <t>38.04.01, 38.04.02</t>
  </si>
  <si>
    <t>858605.01.01</t>
  </si>
  <si>
    <t>Кооперация в сис. обеспеч. продовольств. безоп. России: Моногр. / А.И.Алтухов - М.:НИЦ ИНФРА-М,2025. - 363 с.(п)</t>
  </si>
  <si>
    <t>КООПЕРАЦИЯ В СИСТЕМЕ ОБЕСПЕЧЕНИЯ ПРОДОВОЛЬСТВЕННОЙ БЕЗОПАСНОСТИ РОССИИ</t>
  </si>
  <si>
    <t>Алтухов А.И., Малолетко А.Н., Каурова О.В. и др.</t>
  </si>
  <si>
    <t>978-5-16-021101-5</t>
  </si>
  <si>
    <t>38.05.01, 38.06.01</t>
  </si>
  <si>
    <t>Федеральный научный центр аграрной экономики и социального развития сельских территорий - ВНИИ эконо</t>
  </si>
  <si>
    <t>682162.03.01</t>
  </si>
  <si>
    <t>Координационные юрид. тех. в странах Европы:Моногр. / А.А.Максуров-М.:НИЦ ИНФРА-М,2023-569с(П)</t>
  </si>
  <si>
    <t>КООРДИНАЦИОННЫЕ ЮРИДИЧЕСКИЕ ТЕХНОЛОГИИ В СТРАНАХ ЕВРОПЫ</t>
  </si>
  <si>
    <t>978-5-16-014028-5</t>
  </si>
  <si>
    <t>763281.01.01</t>
  </si>
  <si>
    <t>Координация деят. субъектов права  в услов. кризиса: Моногр. / А.А.Максуров-М.:НИЦ ИНФРА-М,2022.-260 с.(Науч.мысль)(П)</t>
  </si>
  <si>
    <t>КООРДИНАЦИЯ ДЕЯТЕЛЬНОСТИ СУБЪЕКТОВ ПРАВА  В УСЛОВИЯХ КРИЗИСА</t>
  </si>
  <si>
    <t>978-5-16-017245-3</t>
  </si>
  <si>
    <t>38.04.04, 40.04.01, 40.06.01</t>
  </si>
  <si>
    <t>656872.09.01</t>
  </si>
  <si>
    <t>Корабельный устав Военно-Морского Флота РФ - 2 изд. - М.:НИЦ ИНФРА-М,2025. - 271 с.(П)</t>
  </si>
  <si>
    <t>КОРАБЕЛЬНЫЙ УСТАВ ВОЕННО-МОРСКОГО ФЛОТА РФ, ИЗД.2</t>
  </si>
  <si>
    <t>978-5-16-017985-8</t>
  </si>
  <si>
    <t>Профессиональное обучение</t>
  </si>
  <si>
    <t>26.02.03, 26.02.04, 26.02.05, 26.02.06, 26.03.01, 26.05.05, 26.05.06, 26.05.07, 56.05.04</t>
  </si>
  <si>
    <t>Утвержден Указом Президента Российской Федерации от 31 июля 2022 года № 511</t>
  </si>
  <si>
    <t>656872.04.01</t>
  </si>
  <si>
    <t>Корабельный устав Военно-Морского Флота РФ - М.:НИЦ ИНФРА-М,2021 - 462 с.(П)</t>
  </si>
  <si>
    <t>КОРАБЕЛЬНЫЙ УСТАВ ВОЕННО-МОРСКОГО ФЛОТА РФ</t>
  </si>
  <si>
    <t>978-5-16-012795-8</t>
  </si>
  <si>
    <t>Введен в действие приказом Главнокомандующего Военно-Морским Флотом от 1 сентября 2001 года № 350</t>
  </si>
  <si>
    <t>048500.18.01</t>
  </si>
  <si>
    <t>Корпоративная логистика в воп. и ответах: Моногр. / В.И.Сергеев - 2 изд. - М.:НИЦ ИНФРА-М,2025. - 634 с.(П)</t>
  </si>
  <si>
    <t>КОРПОРАТИВНАЯ ЛОГИСТИКА В ВОПРОСАХ И ОТВЕТАХ, ИЗД.2</t>
  </si>
  <si>
    <t>Сергеев В.И., Будрина Е.В., Домнина С.В. и др.</t>
  </si>
  <si>
    <t>978-5-16-004556-6</t>
  </si>
  <si>
    <t>23.03.01, 38.03.01</t>
  </si>
  <si>
    <t>344500.07.01</t>
  </si>
  <si>
    <t>Корпоративная память как управленч.ресурс: Моногр. / З.В.Брагина - М.:НИЦ ИНФРА-М,2025 - 112 с.(Науч.мысль)(о)</t>
  </si>
  <si>
    <t>КОРПОРАТИВНАЯ ПАМЯТЬ КАК УПРАВЛЕНЧЕСКИЙ РЕСУРС. КОЛЛЕКТИВНОЕ БЕССОЗНАТЕЛЬНОЕ ПРЕДПРИЯТИЯ: ПОЧЕМУ ЧЕЛОВЕЧЕСКОЙ ПАМЯТИ НЕДОСТАТОЧНО</t>
  </si>
  <si>
    <t>З.В.Брагина, А.А.Ражева</t>
  </si>
  <si>
    <t>978-5-16-010786-8</t>
  </si>
  <si>
    <t>38.03.02, 38.03.03, 38.03.04, 38.04.02, 38.04.03, 38.04.04</t>
  </si>
  <si>
    <t>Костромской государственный университет</t>
  </si>
  <si>
    <t>176250.08.01</t>
  </si>
  <si>
    <t>Корпоративный рост: модели и методы: Моногр. / С.С.Кузьмин - М.:НИЦ ИНФРА-М,2025. - 184 с.(Науч. мысль)(О)</t>
  </si>
  <si>
    <t>КОРПОРАТИВНЫЙ РОСТ: МОДЕЛИ И МЕТОДЫ</t>
  </si>
  <si>
    <t>Кузьмин С. С.</t>
  </si>
  <si>
    <t>978-5-16-005367-7</t>
  </si>
  <si>
    <t>38.03.01, 38.03.02, 38.04.01, 38.04.02, 38.06.01, 38.07.02</t>
  </si>
  <si>
    <t>820861.01.01</t>
  </si>
  <si>
    <t>Коррекция наруш. слоговой структуры слова у детей старшего дош... / А.Г.Биба - М.:НИЦ ИНФРА-М,2025. - 168 с.(П)</t>
  </si>
  <si>
    <t>КОРРЕКЦИЯ НАРУШЕНИЯ СЛОГОВОЙ СТРУКТУРЫ СЛОВА У ДЕТЕЙ СТАРШЕГО ДОШКОЛЬНОГО ВОЗРАСТА С ДИЗАРТРИЕЙ</t>
  </si>
  <si>
    <t>Биба А.Г., Иванович Е.И.</t>
  </si>
  <si>
    <t>978-5-16-019706-7</t>
  </si>
  <si>
    <t>44.03.03, 44.04.03</t>
  </si>
  <si>
    <t>834521.02.01</t>
  </si>
  <si>
    <t>Коррозия, эрозия и абразия морских железобетонных сооруж.: Моногр. / Л.В.Ким. - М.:НИЦ ИНФРА-М,2025. - 255 с.(п)</t>
  </si>
  <si>
    <t>КОРРОЗИЯ, ЭРОЗИЯ И АБРАЗИЯ МОРСКИХ ЖЕЛЕЗОБЕТОННЫХ СООРУЖЕНИЙ</t>
  </si>
  <si>
    <t>Ким Л.В., Леонович С.Н., Беккер А.Т.</t>
  </si>
  <si>
    <t>978-5-16-020627-1</t>
  </si>
  <si>
    <t>660683.07.01</t>
  </si>
  <si>
    <t>Коррозия. Способы борьбы с корроз. в нефтяной промышл.: Моногр. / Ю.А.Нишкевич - М:НИЦ ИНФРА-М,2025 - 88 с.(о)</t>
  </si>
  <si>
    <t>КОРРОЗИЯ. СПОСОБЫ БОРЬБЫ С КОРРОЗИЕЙ В НЕФТЯНОЙ ПРОМЫШЛЕННОСТИ</t>
  </si>
  <si>
    <t>Нишкевич Ю.А., Козлов И.А.</t>
  </si>
  <si>
    <t>978-5-16-013049-1</t>
  </si>
  <si>
    <t>708109.07.01</t>
  </si>
  <si>
    <t>Коррупция в России XXI в.: неформальные термины.../ П.А.Скобликов - М.:Юр.Норма, НИЦ ИНФРА-М,2025-168с(п)</t>
  </si>
  <si>
    <t>КОРРУПЦИЯ В РОССИИ XXI ВЕКА: НЕФОРМАЛЬНЫЕ ТЕРМИНЫ И ПОНЯТИЯ</t>
  </si>
  <si>
    <t>978-5-91768-795-7</t>
  </si>
  <si>
    <t>812757.01.01</t>
  </si>
  <si>
    <t>Косвенные методы в сенситивных исслед.: Моногр. / А.Ю.Мягков-М.:НИЦ ИНФРА-М,2024.-245 с.(Науч.мысль)(п)</t>
  </si>
  <si>
    <t>КОСВЕННЫЕ МЕТОДЫ В СЕНСИТИВНЫХ ИССЛЕДОВАНИЯХ</t>
  </si>
  <si>
    <t>Мягков А.Ю.</t>
  </si>
  <si>
    <t>978-5-16-019344-1</t>
  </si>
  <si>
    <t>39.04.01, 39.06.01, 41.04.04, 42.04.01</t>
  </si>
  <si>
    <t>Ивановский государственный энергетический университет им. В.И. Ленина</t>
  </si>
  <si>
    <t>690551.06.01</t>
  </si>
  <si>
    <t>Космический мониторинг объектов захоронения...: Моногр. / Казарян М.Л. - М.: ИНФРА-М, 2026. - 278 с.(О)</t>
  </si>
  <si>
    <t>КОСМИЧЕСКИЙ МОНИТОРИНГ ОБЪЕКТОВ ЗАХОРОНЕНИЯ ТВЕРДЫХ БЫТОВЫХ ОТХОДОВ И ПРОМЫШЛЕННЫХ ОТХОДОВ (ТБО И ПО): ТЕОРЕТИКО-МЕТОДИЧЕСКИЕ И СОЦИАЛЬНО-ЭКОНОМИЧЕСКИЕ АСПЕКТЫ</t>
  </si>
  <si>
    <t>Казарян М.Л., Рихтер А.А., Шахраманьян М.А. и др.</t>
  </si>
  <si>
    <t>978-5-16-014435-1</t>
  </si>
  <si>
    <t>20.03.01, 20.03.02, 20.04.01, 20.04.02, 38.03.01, 38.04.01</t>
  </si>
  <si>
    <t>Северо-осетинская государственная медицинская академия</t>
  </si>
  <si>
    <t>726963.08.01</t>
  </si>
  <si>
    <t>Костюм мордовского народа в обычаях и обрядах: Моногр. / Т.А.Шигурова - М.:НИЦ ИНФРА-М,2026-171с(О)</t>
  </si>
  <si>
    <t>КОСТЮМ МОРДОВСКОГО НАРОДА В ОБЫЧАЯХ И ОБРЯДАХ</t>
  </si>
  <si>
    <t>Шигурова Т.А., Макаркин Н.П.</t>
  </si>
  <si>
    <t>978-5-16-015938-6</t>
  </si>
  <si>
    <t>51.03.02, 51.03.04, 51.03.05, 51.04.01, 51.04.02, 51.06.01, 54.04.01, 54.04.02</t>
  </si>
  <si>
    <t>Национальный исследовательский Мордовский государственный университет им. Н.П. Огарева</t>
  </si>
  <si>
    <t>021917.19.01</t>
  </si>
  <si>
    <t>Краткий словарь по социологии / П.Д.Павленок - 2 изд. - М.:НИЦ ИНФРА-М,2024 - 254 с.(О)</t>
  </si>
  <si>
    <t>КРАТКИЙ СЛОВАРЬ ПО СОЦИОЛОГИИ, ИЗД.2</t>
  </si>
  <si>
    <t>Павленок П.Д.</t>
  </si>
  <si>
    <t>Библиотека малых словарей "ИНФРА-М"</t>
  </si>
  <si>
    <t>978-5-16-009912-5</t>
  </si>
  <si>
    <t>00.03.10, 00.05.10, 39.03.01, 39.03.02, 39.03.03, 39.04.01, 39.04.02, 39.04.03</t>
  </si>
  <si>
    <t>641138.15.01</t>
  </si>
  <si>
    <t>Краткий словарь русского жестового языка: Сл. / С.Г.Ватага - М.:НИЦ ИНФРА-М,2026-206 с.(О)</t>
  </si>
  <si>
    <t>КРАТКИЙ СЛОВАРЬ РУССКОГО ЖЕСТОВОГО ЯЗЫКА</t>
  </si>
  <si>
    <t>Ватага С.Г.</t>
  </si>
  <si>
    <t>978-5-16-012330-1</t>
  </si>
  <si>
    <t>44.02.04, 44.03.01, 44.03.02, 44.03.03, 44.04.01, 44.04.02, 44.04.03, 44.04.04, 44.05.01</t>
  </si>
  <si>
    <t>Всероссийское общество глухих</t>
  </si>
  <si>
    <t>022550.21.01</t>
  </si>
  <si>
    <t>Краткий словарь экономиста: Сл. / Н.Л.Зайцев - 4 изд. - М.:НИЦ ИНФРА-М,2025 - 224 с-(Б-ка малых сл."ИНФРА-М")</t>
  </si>
  <si>
    <t>КРАТКИЙ СЛОВАРЬ ЭКОНОМИСТА, ИЗД.4</t>
  </si>
  <si>
    <t>Зайцев Н. Л.</t>
  </si>
  <si>
    <t>978-5-16-002779-1</t>
  </si>
  <si>
    <t>38.03.01, 38.03.02, 38.04.01, 38.05.01, 38.06.01</t>
  </si>
  <si>
    <t>0407</t>
  </si>
  <si>
    <t>754365.04.01</t>
  </si>
  <si>
    <t>Кризис нравств. сознания в России и рус.-япон. война 1904-1905 гг./ А.Л.Панищев-М.:НИЦ ИНФРА-М,2024.-200 с.(О)</t>
  </si>
  <si>
    <t>КРИЗИС НРАВСТВЕННОГО СОЗНАНИЯ В РОССИИ И РУССКО-ЯПОНСКАЯ ВОЙНА 1904-1905 ГОДОВ.</t>
  </si>
  <si>
    <t>978-5-16-016881-4</t>
  </si>
  <si>
    <t>00.03.04, 00.05.04, 46.03.01, 46.04.01, 46.06.01</t>
  </si>
  <si>
    <t>411850.06.01</t>
  </si>
  <si>
    <t>Кризис современного рос. правосознания: Моногр. / Ю.К.Погребная - М.:НИЦ ИНФРА-М,2025. - 192 с.(о)</t>
  </si>
  <si>
    <t>КРИЗИС СОВРЕМЕННОГО РОССИЙСКОГО ПРАВОСОЗНАНИЯ</t>
  </si>
  <si>
    <t>Погребная Ю.К.</t>
  </si>
  <si>
    <t>978-5-16-020099-6</t>
  </si>
  <si>
    <t>668595.03.01</t>
  </si>
  <si>
    <t>Кризисное сознание в контексте глобал.процес.: Моногр./Л.Д.Рассказов-М.:НИЦ ИНФРА-М,СФУ,2023-179с(П)</t>
  </si>
  <si>
    <t>КРИЗИСНОЕ СОЗНАНИЕ В КОНТЕКСТЕ ГЛОБАЛИЗАЦИОННЫХ ПРОЦЕССОВ</t>
  </si>
  <si>
    <t>Рассказов Л.Д.</t>
  </si>
  <si>
    <t>978-5-16-013299-0</t>
  </si>
  <si>
    <t>110923.08.01</t>
  </si>
  <si>
    <t>Криминалистика: природа, система, метод.: Моног. / Н.П.Яблоков - 2 изд. - М.:Юр.Норма,2024 - 288 с.(О)</t>
  </si>
  <si>
    <t>КРИМИНАЛИСТИКА: ПРИРОДА, СИСТЕМА, МЕТОДОЛОГИЧЕСКИЕ ОСНОВЫ, ИЗД.2</t>
  </si>
  <si>
    <t>Яблоков Н.П., Головин А.Ю.</t>
  </si>
  <si>
    <t>978-5-91768-040-8</t>
  </si>
  <si>
    <t>0209</t>
  </si>
  <si>
    <t>459900.06.01</t>
  </si>
  <si>
    <t>Криминалистическая метод. расследования...: Моногр. /Н.П.Яблоков -М.:Юр.Норма, НИЦ ИНФРА-М, 2024-192с.(П)</t>
  </si>
  <si>
    <t>КРИМИНАЛИСТИЧЕСКАЯ МЕТОДИКА РАССЛЕДОВАНИЯ</t>
  </si>
  <si>
    <t>Яблоков Н.П.</t>
  </si>
  <si>
    <t>978-5-91768-687-5</t>
  </si>
  <si>
    <t>081700.14.01</t>
  </si>
  <si>
    <t>Криминальная психология / С.В.Познышев и др. -М.:НИЦ ИНФРА-М, 2024-311с.(Б-ка криминолога)(П)</t>
  </si>
  <si>
    <t>КРИМИНАЛЬНАЯ ПСИХОЛОГИЯ. ПРЕСТУПНЫЕ ТИПЫ.</t>
  </si>
  <si>
    <t>Познышев С.В., Овчинский В.С., Федоров А.В.</t>
  </si>
  <si>
    <t>978-5-16-013196-2</t>
  </si>
  <si>
    <t>061380.09.01</t>
  </si>
  <si>
    <t>Криминология и биотехнологии: Моногр. / В.С.Овчинский-М.:НОРМА, НИЦ ИНФРА-М,2024.-192 с.(о)</t>
  </si>
  <si>
    <t>КРИМИНОЛОГИЯ И БИОТЕХНОЛОГИИ</t>
  </si>
  <si>
    <t>Овчинский В. С.</t>
  </si>
  <si>
    <t>978-5-89123-907-4</t>
  </si>
  <si>
    <t>40.03.01, 40.04.01, 40.05.01, 40.05.02, 40.05.03, 40.05.04</t>
  </si>
  <si>
    <t>0105</t>
  </si>
  <si>
    <t>306200.07.01</t>
  </si>
  <si>
    <t>Криптографическая деят. в России от Полтавы до.../ Д.А.Ларин - М.:ИЦ РИОР, НИЦ ИНФРА-М,2023 - 281 с.(О)</t>
  </si>
  <si>
    <t>КРИПТОГРАФИЧЕСКАЯ ДЕЯТЕЛЬНОСТЬ В РОССИИ ОТ ПОЛТАВЫ ДО БОРОДИНА</t>
  </si>
  <si>
    <t>Ларин Д. А.</t>
  </si>
  <si>
    <t>978-5-369-01384-7</t>
  </si>
  <si>
    <t>10.03.01, 10.04.01</t>
  </si>
  <si>
    <t>МИРЭА - Российский технологический университет</t>
  </si>
  <si>
    <t>717877.03.01</t>
  </si>
  <si>
    <t>Криптографические конструкции на основе функций...: Моногр. / А.В.Соколов - М.:НИЦ ИНФРА-М,2025 - 192 с.(О)</t>
  </si>
  <si>
    <t>КРИПТОГРАФИЧЕСКИЕ КОНСТРУКЦИИ НА ОСНОВЕ ФУНКЦИЙ МНОГОЗНАЧНОЙ ЛОГИКИ</t>
  </si>
  <si>
    <t>Соколов А.В., Жданов О.Н.</t>
  </si>
  <si>
    <t>978-5-16-015667-5</t>
  </si>
  <si>
    <t>01.03.04, 01.04.01, 02.03.01, 02.04.02, 10.03.01, 10.04.01, 10.05.01, 10.05.02, 15.02.07</t>
  </si>
  <si>
    <t>Одесский национальний политехнический университет</t>
  </si>
  <si>
    <t>693082.02.01</t>
  </si>
  <si>
    <t>Критерии истины: Монография / С.В.Борзых - М.:НИЦ ИНФРА-М,2023.-193 с..-(Науч.мысль)(О)</t>
  </si>
  <si>
    <t>КРИТЕРИИ ИСТИНЫ</t>
  </si>
  <si>
    <t>978-5-16-014512-9</t>
  </si>
  <si>
    <t>645799.05.01</t>
  </si>
  <si>
    <t>Критерии проверки гипотез об однородности...: Моногр. / Б.Ю.Лемешко-М.:НИЦ ИНФРА-М,2020-207с.(О)</t>
  </si>
  <si>
    <t>КРИТЕРИИ ПРОВЕРКИ ГИПОТЕЗ ОБ ОДНОРОДНОСТИ. РУКОВОДСТВО ПО ПРИМЕНЕНИЮ</t>
  </si>
  <si>
    <t>Лемешко Б.Ю.</t>
  </si>
  <si>
    <t>978-5-16-012557-2</t>
  </si>
  <si>
    <t>645799.04.01</t>
  </si>
  <si>
    <t>Критерии проверки гипотез об однородности: Монография / Б.Ю.Лемешко, - 2 изд.-М.:НИЦ ИНФРА-М,2021.-248 с(О)</t>
  </si>
  <si>
    <t>КРИТЕРИИ ПРОВЕРКИ ГИПОТЕЗ ОБ ОДНОРОДНОСТИ. РУКОВОДСТВО ПО ПРИМЕНЕНИЮ, ИЗД.2</t>
  </si>
  <si>
    <t>978-5-16-016336-9</t>
  </si>
  <si>
    <t>737176.01.01</t>
  </si>
  <si>
    <t>Критерии проверки отклонения от экспоненциального закона. Рук.по применению: Моногр./ Б.Ю.Лемешко-М.:НИЦ ИНФРА-М,2021.-352 с..-(О)</t>
  </si>
  <si>
    <t>КРИТЕРИИ ПРОВЕРКИ ОТКЛОНЕНИЯ ОТ ЭКСПОНЕНЦИАЛЬНОГО ЗАКОНА. РУКОВОДСТВО ПО ПРИМЕНЕНИЮ</t>
  </si>
  <si>
    <t>Лемешко Б.Ю., Блинов П.Ю.</t>
  </si>
  <si>
    <t>978-5-16-016328-4</t>
  </si>
  <si>
    <t>479650.07.01</t>
  </si>
  <si>
    <t>Критерии проверки отклонения распред. от норм. закона / Б.Ю.Лемешко - 2 изд. - ИНФРА-М, 2026-353 с. (О)</t>
  </si>
  <si>
    <t>КРИТЕРИИ ПРОВЕРКИ ОТКЛОНЕНИЯ РАСПРЕДЕЛЕНИЯ ОТ НОРМАЛЬНОГО ЗАКОНА. РУКОВОДСТВО ПО ПРИМЕНЕНИЮ, ИЗД.2</t>
  </si>
  <si>
    <t>978-5-16-017901-8</t>
  </si>
  <si>
    <t>01.03.01, 01.03.04, 01.04.01, 01.04.04, 01.06.01</t>
  </si>
  <si>
    <t>479650.05.01</t>
  </si>
  <si>
    <t>Критерии проверки отклонения распред. от норм. закона: Рук.. / Б.Ю.Лемешко - ИНФРА-М, 2021-160с. (о)</t>
  </si>
  <si>
    <t>КРИТЕРИИ ПРОВЕРКИ ОТКЛОНЕНИЯ РАСПРЕДЕЛЕНИЯ ОТ НОРМАЛЬНОГО ЗАКОНА. РУКОВОДСТВО ПО ПРИМЕНЕНИЮ</t>
  </si>
  <si>
    <t>978-5-16-010314-3</t>
  </si>
  <si>
    <t>369600.04.01</t>
  </si>
  <si>
    <t>Критерии проверки отклонения распред. от равн.закона: Моногр. / Б.Ю.Лемешко - М.:НИЦ ИНФРА-М,2022-183с(О)</t>
  </si>
  <si>
    <t>КРИТЕРИИ ПРОВЕРКИ ОТКЛОНЕНИЯ РАСПРЕДЕЛЕНИЯ ОТ РАВНОМЕРНОГО ЗАКОНА. РУКОВОДСТВО ПО ПРИМЕНЕНИЮ</t>
  </si>
  <si>
    <t>978-5-16-011011-0</t>
  </si>
  <si>
    <t>06.03.01, 06.04.01, 38.03.01, 38.04.01, 39.03.01, 39.04.01</t>
  </si>
  <si>
    <t>681311.03.01</t>
  </si>
  <si>
    <t>Критика аксиологического разума: Монография / С.Е.Ячин - М.:НИЦ ИНФРА-М,2022 - 137 с.(Науч.мысль)(О)</t>
  </si>
  <si>
    <t>КРИТИКА АКСИОЛОГИЧЕСКОГО РАЗУМА</t>
  </si>
  <si>
    <t>978-5-16-013814-5</t>
  </si>
  <si>
    <t>40.03.01, 44.03.01, 44.03.05, 47.03.01</t>
  </si>
  <si>
    <t>295700.06.01</t>
  </si>
  <si>
    <t>Критика знания: Моногр. / С.В. Борзых. - М.: НИЦ ИНФРА-М, 2024-118с.(Научная мысль; Философия) (о)</t>
  </si>
  <si>
    <t>КРИТИКА ЗНАНИЯ</t>
  </si>
  <si>
    <t>978-5-16-010093-7</t>
  </si>
  <si>
    <t>650137.09.01</t>
  </si>
  <si>
    <t>Крым: новый вектор разв.туризма в России: Моногр. / Под ред.Шарафутдинова В.Н. - М.:НИЦ ИНФРА-М,2026 - 364 с.(П)</t>
  </si>
  <si>
    <t>КРЫМ: НОВЫЙ ВЕКТОР РАЗВИТИЯ ТУРИЗМА В РОССИИ</t>
  </si>
  <si>
    <t>Шарафутдинов В.Н., Яковенко И.М., Позаченюк Е.А. и др.</t>
  </si>
  <si>
    <t>978-5-16-012590-9</t>
  </si>
  <si>
    <t>43.03.01, 43.03.02, 43.03.03, 43.04.01, 43.04.02, 43.04.03, 49.03.03</t>
  </si>
  <si>
    <t>Российская академия наук</t>
  </si>
  <si>
    <t>684086.09.01</t>
  </si>
  <si>
    <t>Кто есть кто в международном терроризме: справочник / В.В.Красинский - М.:НИЦ ИНФРА-М,2025. - 137 с.(о)</t>
  </si>
  <si>
    <t>КТО ЕСТЬ КТО В МЕЖДУНАРОДНОМ ТЕРРОРИЗМЕ</t>
  </si>
  <si>
    <t>Красинский В.В., Машко В.В.</t>
  </si>
  <si>
    <t>978-5-16-020840-4</t>
  </si>
  <si>
    <t>466850.03.01</t>
  </si>
  <si>
    <t>Куда идет мир: политич. экономия будущего: Моногр. / Г.В.Колодко-М.:Магистр,НИЦ ИНФРА-М,2018-528с(П)</t>
  </si>
  <si>
    <t>КУДА ИДЕТ МИР: ПОЛИТИЧЕСКАЯ ЭКОНОМИЯ БУДУЩЕГО</t>
  </si>
  <si>
    <t>Колодко Г.В.</t>
  </si>
  <si>
    <t>978-5-9776-0317-1</t>
  </si>
  <si>
    <t>38.03.01, 38.03.04, 38.04.01, 38.04.04, 41.03.01, 41.03.05, 41.03.06, 41.04.01, 41.04.05</t>
  </si>
  <si>
    <t>185600.11.01</t>
  </si>
  <si>
    <t>Культ личности в России: попытка осмысл.: Моногр. / В.В.Викторов - М: Вуз. уч.: НИЦ Инфра-М, 2026 - 207 с. (п)</t>
  </si>
  <si>
    <t>КУЛЬТ ЛИЧНОСТИ В РОССИИ: ПОПЫТКА ОСМЫСЛЕНИЯ</t>
  </si>
  <si>
    <t>Викторов В. В.</t>
  </si>
  <si>
    <t>978-5-9558-0248-0</t>
  </si>
  <si>
    <t>39.04.01, 41.03.06, 41.04.04, 46.04.01</t>
  </si>
  <si>
    <t>668591.04.01</t>
  </si>
  <si>
    <t>Культура и образование: принципы взаимодействия: Моногр. / М.В.Тарасова-М.:НИЦ ИНФРА-М, СФУ,2024.-360 с..-(П)</t>
  </si>
  <si>
    <t>КУЛЬТУРА И ОБРАЗОВАНИЕ: ПРИНЦИПЫ ВЗАИМОДЕЙСТВИЯ</t>
  </si>
  <si>
    <t>Тарасова М.В.</t>
  </si>
  <si>
    <t>978-5-16-017868-4</t>
  </si>
  <si>
    <t>00.03.05, 51.04.01</t>
  </si>
  <si>
    <t>163550.05.01</t>
  </si>
  <si>
    <t>Культура управления соц.-полит. и эконом. процессами: Моногр. /В.В.Трошихин -М.:ИЦ РИОР, ИНФРА-М,2024-248с.(о)</t>
  </si>
  <si>
    <t>КУЛЬТУРА УПРАВЛЕНИЯ СОЦИАЛЬНО-ПОЛИТИЧЕСКИМИ И ЭКОНОМИЧЕСКИМИ ПРОЦЕССАМИ</t>
  </si>
  <si>
    <t>Трошихин В. В.</t>
  </si>
  <si>
    <t>978-5-369-00987-1</t>
  </si>
  <si>
    <t>38.03.01, 38.03.02, 38.03.03, 38.03.04, 38.03.05, 38.03.06, 38.03.07, 38.04.01, 38.04.02, 38.04.03, 38.04.04, 38.04.05, 38.04.06, 38.04.07, 38.04.08, 38.04.09, 38.05.01, 38.05.02</t>
  </si>
  <si>
    <t>789566.01.01</t>
  </si>
  <si>
    <t>Культура, конкуренция, прибыль: Моногр. / А.В.Ковров-М.:Магистр, НИЦ ИНФРА-М,2023.-296 с.(П)</t>
  </si>
  <si>
    <t>КУЛЬТУРА, КОНКУРЕНЦИЯ, ПРИБЫЛЬ</t>
  </si>
  <si>
    <t>Ковров А.В.</t>
  </si>
  <si>
    <t>978-5-9776-0548-9</t>
  </si>
  <si>
    <t>232700.11.01</t>
  </si>
  <si>
    <t>Культурные традиции права: Моногр. / Г.В.Мальцев - М.:Юр.Норма, НИЦ ИНФРА-М,2026. - 608 с.(п)</t>
  </si>
  <si>
    <t>КУЛЬТУРНЫЕ ТРАДИЦИИ ПРАВА</t>
  </si>
  <si>
    <t>Мальцев Г. В.</t>
  </si>
  <si>
    <t>978-5-91768-423-9</t>
  </si>
  <si>
    <t>40.04.01, 46.04.01, 51.04.01</t>
  </si>
  <si>
    <t>669908.04.01</t>
  </si>
  <si>
    <t>Культурологическая маркиров. аллюзий в рамках худ..: Моногр. / А.М.Гарифуллина - 2 изд. - М.:НИЦ ИНФРА-М,2025 - 120 с.(о)</t>
  </si>
  <si>
    <t>КУЛЬТУРОЛОГИЧЕСКАЯ МАРКИРОВАННОСТЬ АЛЛЮЗИЙ В РАМКАХ ХУДОЖЕСТВЕННОГО ДИСКУРСА Д. ФАУЛЗА, ИЗД.2</t>
  </si>
  <si>
    <t>Гарифуллина А.М.</t>
  </si>
  <si>
    <t>978-5-16-014143-5</t>
  </si>
  <si>
    <t>45.03.01, 51.03.01</t>
  </si>
  <si>
    <t>802571.04.01</t>
  </si>
  <si>
    <t>Кумиры: от подражания к творчеству: Моногр. / В.К.Харченко - М.:НИЦ ИНФРА-М,2026. - 181 с.(Науч.мысль)(п)</t>
  </si>
  <si>
    <t>КУМИРЫ: ОТ ПОДРАЖАНИЯ К ТВОРЧЕСТВУ</t>
  </si>
  <si>
    <t>978-5-16-018482-1</t>
  </si>
  <si>
    <t>00.03.09, 00.05.09, 38.03.03, 38.04.03, 39.03.03, 39.04.03, 39.06.01</t>
  </si>
  <si>
    <t>102850.10.01</t>
  </si>
  <si>
    <t>Курс уголовной политики в связи с уголовной социологией / С.К. Гогель. - М.: ИНФРА-М, 2024. - 386 с. (п)</t>
  </si>
  <si>
    <t>КУРС УГОЛОВНОЙ ПОЛИТИКИ В СВЯЗИ С УГОЛОВНОЙ СОЦИОЛОГИЕЙ</t>
  </si>
  <si>
    <t>Гогель С. К., Овчинский В. С., Федоров А. В.</t>
  </si>
  <si>
    <t>978-5-16-003500-0</t>
  </si>
  <si>
    <t>Европейский университет в Санкт-Петербурге</t>
  </si>
  <si>
    <t>831740.01.01</t>
  </si>
  <si>
    <t>Лагонакское нагорье: Моногр. / Ю.В.Ефремов и др. - М.:НИЦ ИНФРА-М,2024 - 181 с.(Науч.мысль)(о)</t>
  </si>
  <si>
    <t>ЛАГОНАКСКОЕ НАГОРЬЕ</t>
  </si>
  <si>
    <t>Ефремов Ю.В., Остапенко А.А., Крицкая О.Ю.</t>
  </si>
  <si>
    <t>978-5-16-020244-0</t>
  </si>
  <si>
    <t>05.02.02, 05.03.01</t>
  </si>
  <si>
    <t>733187.02.01</t>
  </si>
  <si>
    <t>Латиноамериканские модели орг. и функционир. органов... / А.А. Соловьёв - М.: ИНФРА-М, 2022 - 187 с(О)</t>
  </si>
  <si>
    <t>ЛАТИНОАМЕРИКАНСКИЕ МОДЕЛИ ОРГАНИЗАЦИИ И ФУНКЦИОНИРОВАНИЯ ОРГАНОВ СУДЕЙСКОГО СООБЩЕСТВА. АРГЕНТИНСКАЯ РЕСПУБЛИКА И МЕКСИКАНСКИЕ СОЕДИНЕННЫЕ ШТАТЫ</t>
  </si>
  <si>
    <t>978-5-16-016083-2</t>
  </si>
  <si>
    <t>234700.05.01</t>
  </si>
  <si>
    <t>Латуни: от фазового строения к структуре и свойствам: Моногр./Б.Н.Ефремов - М.: ИНФРА-М, 2022-314с.(П)</t>
  </si>
  <si>
    <t>ЛАТУНИ: ОТ ФАЗОВОГО СТРОЕНИЯ К СТРУКТУРЕ И СВОЙСТВАМ</t>
  </si>
  <si>
    <t>Ефремов Б. Н.</t>
  </si>
  <si>
    <t>978-5-16-009138-9</t>
  </si>
  <si>
    <t>714990.03.01</t>
  </si>
  <si>
    <t>Лев Толстой и его современники: Энц. / Г.В.Алексеева.-М.:НИЦ ИНФРА-М,2021.-726 с.(П)</t>
  </si>
  <si>
    <t>ЛЕВ ТОЛСТОЙ И ЕГО СОВРЕМЕННИКИ</t>
  </si>
  <si>
    <t>Алексеева Г.В., Алексеева О.В., Аленина А.А. и др.</t>
  </si>
  <si>
    <t>978-5-16-016106-8</t>
  </si>
  <si>
    <t>45.03.01, 45.04.01, 45.06.01</t>
  </si>
  <si>
    <t>Северный (Арктический) федеральный университет им. М.В. Ломоносова</t>
  </si>
  <si>
    <t>846327.04.01</t>
  </si>
  <si>
    <t>Лекарственные растения в декоративном садоводстве / Е.Л.Маланкина - М.:НИЦ ИНФРА-М,2025. - 240 с.(п)</t>
  </si>
  <si>
    <t>ЛЕКАРСТВЕННЫЕ РАСТЕНИЯ В ДЕКОРАТИВНОМ САДОВОДСТВЕ</t>
  </si>
  <si>
    <t>Маланкина Е.Л.</t>
  </si>
  <si>
    <t>978-5-16-020493-2</t>
  </si>
  <si>
    <t>35.01.19, 35.02.05, 35.02.12</t>
  </si>
  <si>
    <t>656314.04.01</t>
  </si>
  <si>
    <t>Лексикологический синтез докум.в комп.информ.сист.: Моногр. / Б.В.Черников-М.:ИД ФОРУМ,2023-336с(П)</t>
  </si>
  <si>
    <t>ЛЕКСИКОЛОГИЧЕСКИЙ СИНТЕЗ ДОКУМЕНТОВ В КОМПЛЕКСАХ ИНФОРМАЦИОННЫХ СИСТЕМ</t>
  </si>
  <si>
    <t>Черников Б.В.</t>
  </si>
  <si>
    <t>978-5-8199-0682-8</t>
  </si>
  <si>
    <t>10.02.01, 10.05.05, 26.04.01, 29.03.02, 38.04.02, 46.04.02</t>
  </si>
  <si>
    <t>221500.06.01</t>
  </si>
  <si>
    <t>Лексическая репрезент. фрейма "внимание": Моногр. / О.Н.Прохорова - М.:НИЦ ИНФРА-М,2023-108с(о)</t>
  </si>
  <si>
    <t>ЛЕКСИЧЕСКАЯ РЕПРЕЗЕНТАЦИЯ ФРЕЙМА "ВНИМАНИЕ": СЕМАНТИЧЕСКИЙ АСПЕКТ</t>
  </si>
  <si>
    <t>Прохорова О.Н., Чекулай И.В., Багана Ж. и др.</t>
  </si>
  <si>
    <t>978-5-16-008973-7</t>
  </si>
  <si>
    <t>40.03.01, 44.03.01, 44.03.05, 45.03.01, 45.04.01</t>
  </si>
  <si>
    <t>795900.02.01</t>
  </si>
  <si>
    <t>Лекции о почвоведении. Избранные труды: монография / В.В.Докучаев-М.:НИЦ ИНФРА-М,2024.-495 с.(п)</t>
  </si>
  <si>
    <t>ЛЕКЦИИ О ПОЧВОВЕДЕНИИ. ИЗБРАННЫЕ ТРУДЫ</t>
  </si>
  <si>
    <t>Докучаев В.В.</t>
  </si>
  <si>
    <t>978-5-16-018145-5</t>
  </si>
  <si>
    <t>05.03.04, 05.03.06, 06.03.01, 06.03.02, 20.03.02, 21.03.02, 35.03.01, 35.03.05, 35.03.10, 35.06.01</t>
  </si>
  <si>
    <t>705675.05.01</t>
  </si>
  <si>
    <t>Лечебные грязи Крыма: Монография / В.Н.Любчик - М.:НИЦ ИНФРА-М,2023 - 144 с.(Науч.мысль)(О)</t>
  </si>
  <si>
    <t>ЛЕЧЕБНЫЕ ГРЯЗИ КРЫМА</t>
  </si>
  <si>
    <t>Любчик В.Н., Ежов В.В.</t>
  </si>
  <si>
    <t>978-5-16-016334-5</t>
  </si>
  <si>
    <t>771335.04.01</t>
  </si>
  <si>
    <t>Лечение пациентов с вентральной грыжей и ожирением / В.И.Белоконев. - М.:НИЦ ИНФРА-М,2025. - 187 с.(П)</t>
  </si>
  <si>
    <t>ЛЕЧЕНИЕ ПАЦИЕНТОВ С ВЕНТРАЛЬНОЙ ГРЫЖЕЙ И ОЖИРЕНИЕМ</t>
  </si>
  <si>
    <t>Белоконев В.И., Пушкин С.Ю., Захаров В.П. и др.</t>
  </si>
  <si>
    <t>978-5-16-017766-3</t>
  </si>
  <si>
    <t>796101.01.01</t>
  </si>
  <si>
    <t>Лидерство и возвышение великих держав</t>
  </si>
  <si>
    <t>ЛИДЕРСТВО И ВОЗВЫШЕНИЕ ВЕЛИКИХ ДЕРЖАВ</t>
  </si>
  <si>
    <t>Янь С.</t>
  </si>
  <si>
    <t>978-5-9776-0546-5</t>
  </si>
  <si>
    <t>818243.01.01</t>
  </si>
  <si>
    <t>Лингвокультурные доминанты дискурсивных прак...: Моногр. / Д.В.Атанова. - М.:НИЦ ИНФРА-М,2025. - 169 с.(о)</t>
  </si>
  <si>
    <t>ЛИНГВОКУЛЬТУРНЫЕ ДОМИНАНТЫ ДИСКУРСИВНЫХ ПРАКТИК ПРАВОСЛАВИЯ И ПРОТЕСТАНИЗМА</t>
  </si>
  <si>
    <t>Атанова Д.В., Боженкова Н.А., Боженкова Р.К.</t>
  </si>
  <si>
    <t>978-5-16-020633-2</t>
  </si>
  <si>
    <t>45.04.01, 45.04.02, 45.06.01, 51.04.01, 51.06.01</t>
  </si>
  <si>
    <t>СКАЕНГ ОАНО ДПО</t>
  </si>
  <si>
    <t>680155.05.01</t>
  </si>
  <si>
    <t>Лингвокультурологический сл.географ.назв.Великобритании и США / С.И.Гарагуля-М.:НИЦ ИНФРА-М,2023-257с.(П)</t>
  </si>
  <si>
    <t>ЛИНГВОКУЛЬТУРОЛОГИЧЕСКИЙ СЛОВАРЬ ГЕОГРАФИЧЕСКИХ НАЗВАНИЙ ВЕЛИКОБРИТАНИИ И США.</t>
  </si>
  <si>
    <t>978-5-16-014103-9</t>
  </si>
  <si>
    <t>45.03.02, 45.03.03, 45.03.04, 45.05.01</t>
  </si>
  <si>
    <t>833101.02.01</t>
  </si>
  <si>
    <t>Лингвопрагматика языковой личности педагога: Моногр. / М.Р.Желтухина - М.:НИЦ ИНФРА-М,2026. - 162 с.(о)</t>
  </si>
  <si>
    <t>ЛИНГВОПРАГМАТИКА ЯЗЫКОВОЙ ЛИЧНОСТИ ПЕДАГОГА</t>
  </si>
  <si>
    <t>Сергеева О.В., Желтухина М.Р.</t>
  </si>
  <si>
    <t>978-5-16-020558-8</t>
  </si>
  <si>
    <t>45.04.01, 45.04.02, 45.04.03, 45.06.01</t>
  </si>
  <si>
    <t>684989.06.01</t>
  </si>
  <si>
    <t>Лингвосемиотика милитарно-медийного дискурса: Моногр. / Н.Г.Склярова-М.:НИЦ ИНФРА-М,2023.-88 с.(О)</t>
  </si>
  <si>
    <t>ЛИНГВОСЕМИОТИКА МИЛИТАРНО-МЕДИЙНОГО ДИСКУРСА (НА МАТЕРИАЛЕ СОВРЕМЕННЫХ ПУБЛИКАЦИЙ АНГЛОЯЗЫЧНЫХ СМИ)</t>
  </si>
  <si>
    <t>Склярова Н.Г.</t>
  </si>
  <si>
    <t>978-5-16-014176-3</t>
  </si>
  <si>
    <t>45.03.03, 51.03.01</t>
  </si>
  <si>
    <t>164850.10.01</t>
  </si>
  <si>
    <t>Лингвосинергетика поэтического текста: Моногр. / Е.Ю.Муратова - М.:НИЦ ИНФРА-М,2025 - 219 с(Науч.мысль)(О)</t>
  </si>
  <si>
    <t>ЛИНГВОСИНЕРГЕТИКА ПОЭТИЧЕСКОГО ТЕКСТА</t>
  </si>
  <si>
    <t>Муратова Е.Ю.</t>
  </si>
  <si>
    <t>978-5-16-005168-0</t>
  </si>
  <si>
    <t>44.03.01, 44.03.05, 44.04.01, 45.03.01, 45.03.02, 45.04.01, 45.04.02</t>
  </si>
  <si>
    <t>798333.01.01</t>
  </si>
  <si>
    <t>Липосомальные формы ноотропных лекарств. средств: Моногр. / Ю.А.Полковникова-М.:НИЦ ИНФРА-М,2023.-193 с.(о)</t>
  </si>
  <si>
    <t>ЛИПОСОМАЛЬНЫЕ ФОРМЫ НООТРОПНЫХ ЛЕКАРСТВЕННЫХ СРЕДСТВ</t>
  </si>
  <si>
    <t>Полковникова Ю.А.</t>
  </si>
  <si>
    <t>978-5-16-018288-9</t>
  </si>
  <si>
    <t>33.05.01, 33.06.01, 33.08.01, 33.08.02, 33.08.03</t>
  </si>
  <si>
    <t>133110.10.01</t>
  </si>
  <si>
    <t>Лиризм русской прозы 30-х г. XIXв.: Моногр. / В.Н.Остапцева - М.:НИЦ ИНФРА-М,2024 - 128 с.(Науч.мысль)(О)</t>
  </si>
  <si>
    <t>ЛИРИЗМ РУССКОЙ ПРОЗЫ 30-Х ГОДОВ XIX ВЕКА</t>
  </si>
  <si>
    <t>Остапцева В.Н.</t>
  </si>
  <si>
    <t>978-5-16-009749-7</t>
  </si>
  <si>
    <t>Гуманитарно - социальный институт</t>
  </si>
  <si>
    <t>255000.03.01</t>
  </si>
  <si>
    <t>Литология осадочных терригенных формаций тектонич..:Моногр./О.В.Япаскурт-М.:НИЦ ИНФРА-М,2021-227с(о)</t>
  </si>
  <si>
    <t>ЛИТОЛОГИЯ ОСАДОЧНЫХ ТЕРРИГЕННЫХ ФОРМАЦИЙ ТЕКТОНИЧЕСКИ ПОДВИЖНОЙ ОБЛАСТИ (МЕЗОЗОИДЫ ВЕРХОЯНЬЯ И ПРИВЕРХОЯНЬЯ ПЕРЕДОВОГО ПЕРЕГИБА)</t>
  </si>
  <si>
    <t>ЯпаскуртО.В.</t>
  </si>
  <si>
    <t>978-5-16-011773-7</t>
  </si>
  <si>
    <t>Московский государственный университет им. М.В. Ломоносова, Геологический факультет</t>
  </si>
  <si>
    <t>768779.04.01</t>
  </si>
  <si>
    <t>Личностная компетентность спец. правоохранит...: Моногр./О.А.Ульянина-М.:ИЦ РИОР, НИЦ ИНФРА-М,2024-220с(П)</t>
  </si>
  <si>
    <t>ЛИЧНОСТНАЯ КОМПЕТЕНТНОСТЬ СПЕЦИАЛИСТОВ ПРАВООХРАНИТЕЛЬНОЙ СФЕРЫ: ПСИХОТЕХНОЛОГИИ ФОРМИРОВАНИЯ В ОБРАЗОВАТЕЛЬНЫХ ОРГАНИЗАЦИЯХ ВЫСШЕГО ОБРАЗОВАНИЯ</t>
  </si>
  <si>
    <t>Ульянина О.А.</t>
  </si>
  <si>
    <t>978-5-369-01884-2</t>
  </si>
  <si>
    <t>40.05.02, 40.05.04, 40.06.01</t>
  </si>
  <si>
    <t>767666.03.01</t>
  </si>
  <si>
    <t>Личность в рос. социальной философии: Моногр. / К.К.Оганян - М.:НИЦ ИНФРА-М,2025. - 292 с.(Науч.мысль)(О)</t>
  </si>
  <si>
    <t>ЛИЧНОСТЬ В РОССИЙСКОЙ СОЦИАЛЬНОЙ ФИЛОСОФИИ: ГЕНЕЗИС УПРАВЛЕНЧЕСКОЙ МЫСЛИ</t>
  </si>
  <si>
    <t>978-5-16-017480-8</t>
  </si>
  <si>
    <t>39.04.01, 47.04.01</t>
  </si>
  <si>
    <t>085590.08.01</t>
  </si>
  <si>
    <t>Личность и государство в России / Б.С. Эбзеев - М.: НОРМА, 2024 - 384 с. (П)</t>
  </si>
  <si>
    <t>ЛИЧНОСТЬ И ГОСУДАРСТВО В РОССИИ: ВЗАИМНАЯ ОТВЕТСТВЕННОСТЬ И КОНСТИТУЦИОННЫЕ ОБЯЗАННОСТИ</t>
  </si>
  <si>
    <t>978-5-468-00119-6</t>
  </si>
  <si>
    <t>423500.05.01</t>
  </si>
  <si>
    <t>Личность организов.преступника:: Моногр. / Под ред. Долговой А.И. - М.:Юр.Норма,НИЦ ИНФРА-М,2022-368с.(п)</t>
  </si>
  <si>
    <t>ЛИЧНОСТЬ ОРГАНИЗОВАННОГО ПРЕСТУПНИКА: КРИМИНОЛОГИЧЕСКОЕ ИССЛЕДОВАНИЕ</t>
  </si>
  <si>
    <t>Долгова А. И., Белоцерковский С. Д., Васнецова А. С., Соколов Д. А., Долгова А. И.</t>
  </si>
  <si>
    <t>978-5-91768-325-6</t>
  </si>
  <si>
    <t>Российская криминологическая ассоциация</t>
  </si>
  <si>
    <t>057463.13.01</t>
  </si>
  <si>
    <t>Личность преступника. Кримин.-психол. исследов.: Моногр. / Ю.М.Антонян - М.:Юр.Норма, - М,2025 - 368 с.(О)</t>
  </si>
  <si>
    <t>ЛИЧНОСТЬ ПРЕСТУПНИКА. КРИМИНОЛОГО-ПСИХОЛОГИЧЕСКОЕ ИССЛЕДОВАНИЕ</t>
  </si>
  <si>
    <t>Антонян Ю. М., Эминов В. Е.</t>
  </si>
  <si>
    <t>978-5-91768-077-4</t>
  </si>
  <si>
    <t>37.03.01, 40.03.01, 40.04.01</t>
  </si>
  <si>
    <t>Всероссийский научно-исследовательский институт Министерства внутренних дел Российской Федерации</t>
  </si>
  <si>
    <t>649613.06.01</t>
  </si>
  <si>
    <t>Логика в химии: Моногр. / С.В.Евдокимов - М.:НИЦ ИНФРА-М,2026. - 319 с.(Науч.мысль)(о)</t>
  </si>
  <si>
    <t>ЛОГИКА В ХИМИИ</t>
  </si>
  <si>
    <t>Евдокимов С.В.</t>
  </si>
  <si>
    <t>978-5-16-019444-8</t>
  </si>
  <si>
    <t>04.03.01, 04.03.02, 04.05.01, 18.03.01, 18.03.02, 18.05.01, 18.05.02, 30.05.01, 31.05.01, 31.05.02, 31.05.03, 33.05.01, 44.03.05</t>
  </si>
  <si>
    <t>174400.10.01</t>
  </si>
  <si>
    <t>Логико-языковые феномены в юриспруденции: Моногр. / А.Ф.Черданцев - М.:Юр.Норма,НИЦ ИНФРА-М,2026 - 320 с.(П)</t>
  </si>
  <si>
    <t>ЛОГИКО-ЯЗЫКОВЫЕ ФЕНОМЕНЫ В ЮРИСПРУДЕНЦИИ</t>
  </si>
  <si>
    <t>Черданцев А. Ф.</t>
  </si>
  <si>
    <t>978-5-91768-257-0</t>
  </si>
  <si>
    <t>750869.04.01</t>
  </si>
  <si>
    <t>Логистика в системе совокупного знания: Моногр. / И.Д.Афанасенко - М.:НИЦ ИНФРА-М,2024 - 169 с.(О)</t>
  </si>
  <si>
    <t>ЛОГИСТИКА В СИСТЕМЕ СОВОКУПНОГО ЗНАНИЯ</t>
  </si>
  <si>
    <t>Афанасенко И.Д., Борисова В.В.</t>
  </si>
  <si>
    <t>978-5-16-017020-6</t>
  </si>
  <si>
    <t>799193.06.01</t>
  </si>
  <si>
    <t>Логистика новой городской мобильности: Моногр. / Под ред. Шульженко Т.Г. - М.:НИЦ ИНФРА-М,2026 - 546 с.(п)</t>
  </si>
  <si>
    <t>ЛОГИСТИКА НОВОЙ ГОРОДСКОЙ МОБИЛЬНОСТИ: ЦЕННОСТНО ОРИЕНТИРОВАННЫЙ ПОДХОД</t>
  </si>
  <si>
    <t>Шульженко Т.Г., Жук А.Е., Иванова Д.П. и др.</t>
  </si>
  <si>
    <t>978-5-16-018306-0</t>
  </si>
  <si>
    <t>07.04.04, 07.06.01, 07.07.01, 07.09.04, 23.04.01, 23.04.02, 23.06.01, 38.04.02, 38.04.04, 38.06.01</t>
  </si>
  <si>
    <t>145350.07.01</t>
  </si>
  <si>
    <t>Логистическая система упр.фин.корпорат.структур: Моногр. / С.Е.Барыкин -М.:НИЦ ИНФРА-М,2021-172с.(О)</t>
  </si>
  <si>
    <t>ЛОГИСТИЧЕСКАЯ СИСТЕМА УПРАВЛЕНИЯ ФИНАНСАМИ КОРПОРАТИВНЫХ СТРУКТУР</t>
  </si>
  <si>
    <t>Барыкин С.Е.</t>
  </si>
  <si>
    <t>978-5-16-009797-8</t>
  </si>
  <si>
    <t>38.03.01, 38.03.02, 38.03.06, 38.04.01, 38.04.02, 38.04.06, 38.04.08, 44.03.05</t>
  </si>
  <si>
    <t>806424.04.01</t>
  </si>
  <si>
    <t>Логос права: Парменид-Гегель-Достоевский / С.И.Захарцев - 2 изд. - М.:Юр. НОРМА, НИЦ ИНФРА-М,2026. - 376 с.(п)</t>
  </si>
  <si>
    <t>ЛОГОС ПРАВА: ПАРМЕНИД-ГЕГЕЛЬ-ДОСТОЕВСКИЙ, ИЗД.2</t>
  </si>
  <si>
    <t>Захарцев С.И., Сальников В.П., Масленников Д.В.</t>
  </si>
  <si>
    <t>978-5-00156-360-0</t>
  </si>
  <si>
    <t>850473.01.01</t>
  </si>
  <si>
    <t>Локальные электрохимич. покрытия: Моногр. / А.А.Тихонов - М.:НИЦ ИНФРА-М,2025. - 382 с.(Науч.мысль)(п)</t>
  </si>
  <si>
    <t>ЛОКАЛЬНЫЕ ЭЛЕКТРОХИМИЧЕСКИЕ ПОКРЫТИЯ</t>
  </si>
  <si>
    <t>Тихонов А.А.</t>
  </si>
  <si>
    <t>978-5-16-020790-2</t>
  </si>
  <si>
    <t>03.04.02, 15.05.01, 15.06.01</t>
  </si>
  <si>
    <t>417950.07.01</t>
  </si>
  <si>
    <t>М. Горький и писатели Сибири: Моногр. / Л.В.Суматохина - М.:НИЦ ИНФРА-М,2024 - 237 с.(Науч.мысль)(О)</t>
  </si>
  <si>
    <t>М. ГОРЬКИЙ И ПИСАТЕЛИ СИБИРИ</t>
  </si>
  <si>
    <t>Суматохина Л. В.</t>
  </si>
  <si>
    <t>978-5-16-019055-6</t>
  </si>
  <si>
    <t>45.03.01, 45.04.01, 51.03.01, 51.03.06, 52.03.04, 52.03.05</t>
  </si>
  <si>
    <t>Институт мировой литературы им. А.М. Горького Российской академии наук</t>
  </si>
  <si>
    <t>741139.01.01</t>
  </si>
  <si>
    <t>Магистранты российского университета: упр. соц. поведением и проф подготовкой: Моногр / С.Н.Макарова.-М.:НИЦ ИНФРА-М,2021-233с(П)</t>
  </si>
  <si>
    <t>МАГИСТРАНТЫ РОССИЙСКОГО УНИВЕРСИТЕТА: УПРАВЛЕНИЕ СОЦИАЛЬНЫМ ПОВЕДЕНИЕМ И ПРОФЕССИОНАЛЬНОЙ ПОДГОТОВКОЙ</t>
  </si>
  <si>
    <t>Макарова С.Н., Резник С.Д., Резник С.Д.</t>
  </si>
  <si>
    <t>978-5-16-016402-1</t>
  </si>
  <si>
    <t>38.04.02, 38.06.01</t>
  </si>
  <si>
    <t>335400.05.01</t>
  </si>
  <si>
    <t>Макроквантовый термодинамич.метод...:Моногр./Ю.В.Светлов-М.:НИЦ ИНФРА-М,2024-313с.(Науч.мысль)(п)</t>
  </si>
  <si>
    <t>МАКРОКВАНТОВЫЙ ТЕРМОДИНАМИЧЕСКИЙ МЕТОД РАСЧЕТНОГО АНАЛИЗА ТЕРМОВЛАЖНОСТНЫХ ПРОЦЕССОВ В ПОРИСТЫХ МАТЕРИАЛАХ</t>
  </si>
  <si>
    <t>978-5-16-010673-1</t>
  </si>
  <si>
    <t>29.03.01, 29.03.05, 29.04.02</t>
  </si>
  <si>
    <t>174500.08.01</t>
  </si>
  <si>
    <t>Макроэкономика: Продв. уров.: Курс лекций / Б.Е.Бродский - М:Магистр,НИЦ ИНФРА-М,2024-336с(Магистр.)(п)</t>
  </si>
  <si>
    <t>МАКРОЭКОНОМИКА: ПРОДВИНУТЫЙ УРОВЕНЬ</t>
  </si>
  <si>
    <t>Бродский Б. Е.</t>
  </si>
  <si>
    <t>Магистратура</t>
  </si>
  <si>
    <t>978-5-9776-0223-5</t>
  </si>
  <si>
    <t>38.03.01, 38.03.04, 38.04.01, 44.03.01, 44.03.05</t>
  </si>
  <si>
    <t>720622.06.01</t>
  </si>
  <si>
    <t>Макс Вебер: инвариантность господства: Моногр. / Э.Н.Ожиганов-М.:НИЦ ИНФРА-М,2025.-179 с.(Науч.мысль)(О)</t>
  </si>
  <si>
    <t>МАКС ВЕБЕР: ИНВАРИАНТНОСТЬ ГОСПОДСТВА</t>
  </si>
  <si>
    <t>Ожиганов Э.Н.</t>
  </si>
  <si>
    <t>978-5-16-015720-7</t>
  </si>
  <si>
    <t>775278.01.01</t>
  </si>
  <si>
    <t>Малоинвазивная ургентная панкреатобилиарная хирургия...: Моногр. / Ю.С.Винник.-М.:НИЦ ИНФРА-М,2022.-276 с.(О)</t>
  </si>
  <si>
    <t>МАЛОИНВАЗИВНАЯ УРГЕНТНАЯ ПАНКРЕАТОБИЛИАРНАЯ ХИРУРГИЯ У ПАЦИЕНТОВ СТАРШИХ ВОЗРАСТНЫХ ГРУПП</t>
  </si>
  <si>
    <t>Винник Ю.С., Миллер С.В., Теплякова О.В.</t>
  </si>
  <si>
    <t>978-5-16-017611-6</t>
  </si>
  <si>
    <t>31.05.01, 31.06.01, 31.07.01, 31.08.67</t>
  </si>
  <si>
    <t>Красноярский государственный медицинский университет им. профессора В.Ф. Войно-Ясенецкого</t>
  </si>
  <si>
    <t>692615.07.01</t>
  </si>
  <si>
    <t>Малые мосты: Монография / Б.А.Дробышевский - М.:НИЦ ИНФРА-М,2025 - 228 с.(Науч.мысль)(О)</t>
  </si>
  <si>
    <t>МАЛЫЕ МОСТЫ</t>
  </si>
  <si>
    <t>Дробышевский Б.А.</t>
  </si>
  <si>
    <t>978-5-16-014556-3</t>
  </si>
  <si>
    <t>08.03.01, 08.04.01, 08.05.02, 08.06.01</t>
  </si>
  <si>
    <t>Центральный научно-исследовательский институт экономики, информатики и систем управления</t>
  </si>
  <si>
    <t>456850.05.01</t>
  </si>
  <si>
    <t>Маргарет Тэтчер и германский вопрос: Моногр./ И.И. Ковяко. - М.: НИЦ ИНФРА-М, 2024. - 142 с. (о)</t>
  </si>
  <si>
    <t>МАРГАРЕТ ТЭТЧЕР И ГЕРМАНСКИЙ ВОПРОС.</t>
  </si>
  <si>
    <t>Ковяко И. И.</t>
  </si>
  <si>
    <t>978-5-16-009385-7</t>
  </si>
  <si>
    <t>632079.05.01</t>
  </si>
  <si>
    <t>Марк Твен: судьба "короля смеха": Моногр. / Б.А.Гиленсон-М.:НИЦ ИНФРА-М,2024-248с.(Науч.мысль)(п)</t>
  </si>
  <si>
    <t>МАРК ТВЕН: СУДЬБА "КОРОЛЯ СМЕХА"</t>
  </si>
  <si>
    <t>978-5-16-012025-6</t>
  </si>
  <si>
    <t>41.03.06, 42.03.02, 42.03.03, 42.03.04, 52.03.04, 52.03.05</t>
  </si>
  <si>
    <t>263500.07.01</t>
  </si>
  <si>
    <t>Маркетинг и современность: Моногр. / С.В.Карпова-М.:Вуз. уч., НИЦ ИНФРА-М,2024-267с.(Научная книга)(о)</t>
  </si>
  <si>
    <t>МАРКЕТИНГ И СОВРЕМЕННОСТЬ</t>
  </si>
  <si>
    <t>Карпова С. В., Азарова С. П., Арский А. А., Карпова С. В.</t>
  </si>
  <si>
    <t>978-5-9558-0361-6</t>
  </si>
  <si>
    <t>17.03.01, 19.03.04, 23.03.01, 23.03.03, 26.03.02, 27.03.02, 29.03.02, 35.03.03, 35.03.04, 38.03.02, 38.03.05, 38.04.02, 38.04.05, 41.03.06, 44.03.01, 44.03.05, 52.03.01</t>
  </si>
  <si>
    <t>677785.06.01</t>
  </si>
  <si>
    <t>Маркетинг инновационно-технологических стартапов.../ Б.Е.Токарев - М.:Магистр, НИЦ ИНФРА-М,2025 - 264 с.(о)</t>
  </si>
  <si>
    <t>МАРКЕТИНГ ИННОВАЦИОННО-ТЕХНОЛОГИЧЕСКИХ СТАРТАПОВ: ОТ ТЕХНОЛОГИИ ДО КОММЕРЧЕСКОГО РЕЗУЛЬТАТА</t>
  </si>
  <si>
    <t>Токарев Б.Е.</t>
  </si>
  <si>
    <t>978-5-9776-0572-4</t>
  </si>
  <si>
    <t>38.03.06</t>
  </si>
  <si>
    <t>182150.06.01</t>
  </si>
  <si>
    <t>Маркетинг на предпр. и в корпорациях...: Моногр. / Под ред. Смирнова К.А. - М.:НИЦ ИНФРА-М,2022-166с(О)</t>
  </si>
  <si>
    <t>МАРКЕТИНГ НА ПРЕДПРИЯТИЯХ И В КОРПОРАЦИЯХ: ТЕОРИЯ И ПРАКТИКА</t>
  </si>
  <si>
    <t>Никитина Т.Е., Смирнов К.А., Смирнов К.А.</t>
  </si>
  <si>
    <t>978-5-16-005497-1</t>
  </si>
  <si>
    <t>829952.01.01</t>
  </si>
  <si>
    <t>Маркетинг отношений с ключ. партнерами в сфере образ.: Моногр. / В.Д.Малыгина - М.:НИЦ ИНФРА-М,2025 - 197 с.(о)</t>
  </si>
  <si>
    <t>МАРКЕТИНГ ОТНОШЕНИЙ С КЛЮЧЕВЫМИ ПАРТНЕРАМИ В СФЕРЕ ОБРАЗОВАНИЯ</t>
  </si>
  <si>
    <t>Малыгина В.Д., Корчига Л.И.</t>
  </si>
  <si>
    <t>978-5-16-020042-2</t>
  </si>
  <si>
    <t>Донецкий национальный университет экономики и торговли имени Михаила Туган-Барановского</t>
  </si>
  <si>
    <t>670838.02.01</t>
  </si>
  <si>
    <t>Маркетинговое упр. взаимодействием субъектов...: Моногр. / Т.И.Шерстобитова-М.: ИНФРА-М,2023-282с(О)</t>
  </si>
  <si>
    <t>МАРКЕТИНГОВОЕ УПРАВЛЕНИЕ ВЗАИМОДЕЙСТВИЕМ СУБЪЕКТОВ ИННОВАЦИОННОЙ СФЕРЫ</t>
  </si>
  <si>
    <t>Шерстобитова Т.И., Семеркова Л.Н.</t>
  </si>
  <si>
    <t>978-5-16-014237-1</t>
  </si>
  <si>
    <t>27.03.05, 38.03.01</t>
  </si>
  <si>
    <t>431880.07.01</t>
  </si>
  <si>
    <t>Маркетинговые исслед. рыноч. ниш инновац. продуктов /Б.Е. Токарев - М.: Магистр, НИЦ ИНФРА-М, 2025 - 272 с.(О)</t>
  </si>
  <si>
    <t>МАРКЕТИНГОВЫЕ ИССЛЕДОВАНИЯ РЫНОЧНЫХ НИШ ИННОВАЦИОННЫХ ПРОДУКТОВ</t>
  </si>
  <si>
    <t>Токарев Б. Е.</t>
  </si>
  <si>
    <t>978-5-9776-0270-9</t>
  </si>
  <si>
    <t>38.03.02, 38.04.01, 38.04.06, 44.03.01, 44.03.05</t>
  </si>
  <si>
    <t>458400.04.01</t>
  </si>
  <si>
    <t>Маркетинговые коммуникации в сфере услуг..:Моногр./А.В.Христофоров -М.:ИЦ РИОР,НИЦ ИНФРА-М,2020-160с.(Научная мысль) (О)</t>
  </si>
  <si>
    <t>МАРКЕТИНГОВЫЕ КОММУНИКАЦИИ В СФЕРЕ УСЛУГ:СПЕЦИФИКА ПРИМЕНЕНИЯ И ИННОВАЦИОННЫЕ ПОДХОДЫ</t>
  </si>
  <si>
    <t>Христофоров А.В., Христофорова И.В., Подрезов А.А. и др.</t>
  </si>
  <si>
    <t>978-5-369-01490-5</t>
  </si>
  <si>
    <t>38.03.02, 42.03.01, 43.03.01, 43.03.02, 43.03.03, 44.03.01, 44.03.05</t>
  </si>
  <si>
    <t>798481.02.01</t>
  </si>
  <si>
    <t>Маркетология: онтологич. основы общей теор. рынков: Моногр. / А.И.Бельзецкий-М.:НИЦ ИНФРА-М,2024-248с.(п)</t>
  </si>
  <si>
    <t>МАРКЕТОЛОГИЯ: ОНТОЛОГИЧЕСКИЕ ОСНОВЫ ОБЩЕЙ ТЕОРИИ РЫНКОВ</t>
  </si>
  <si>
    <t>Бельзецкий А.И.</t>
  </si>
  <si>
    <t>978-5-16-018282-7</t>
  </si>
  <si>
    <t>821782.02.01</t>
  </si>
  <si>
    <t>Маркетология: теория, методы и модели...: Моногр. / А.И.Бельзецкий - М.:НИЦ ИНФРА-М,2025. - 372 с.(п)</t>
  </si>
  <si>
    <t>МАРКЕТОЛОГИЯ: ТЕОРИЯ, МЕТОДЫ И МОДЕЛИ РЫНКА КАК ЦЕЛОСТНОСТИ</t>
  </si>
  <si>
    <t>978-5-16-019711-1</t>
  </si>
  <si>
    <t>38.04.01, 38.04.02, 38.04.06, 38.06.01</t>
  </si>
  <si>
    <t>786286.01.01</t>
  </si>
  <si>
    <t>Массовая обработка данных...: Моногр. / В.И.Мунерман-М.:НИЦ ИНФРА-М,2023.-263 с.(Науч.мысль)(О)</t>
  </si>
  <si>
    <t>МАССОВАЯ ОБРАБОТКА ДАННЫХ. АЛГЕБРАИЧЕСКИЕ МОДЕЛИ И МЕТОДЫ</t>
  </si>
  <si>
    <t>Мунерман В.И.</t>
  </si>
  <si>
    <t>978-5-16-018035-9</t>
  </si>
  <si>
    <t>01.04.02, 01.06.01, 27.04.03, 27.04.07, 45.04.04</t>
  </si>
  <si>
    <t>Смоленский государственный университет</t>
  </si>
  <si>
    <t>773065.01.01</t>
  </si>
  <si>
    <t>Математика в профессиональном образовании...: Моногр. / В.М.Федосеев.-М.:НИЦ ИНФРА-М,2022.-173 с.(О)</t>
  </si>
  <si>
    <t>МАТЕМАТИКА В ПРОФЕССИОНАЛЬНОМ ОБРАЗОВАНИИ: ОСНОВЫ МЕТОДИКИ ОБУЧЕНИЯ ИНЖЕНЕРНОЙ МАТЕМАТИКЕ</t>
  </si>
  <si>
    <t>Федосеев В.М., Родионов М.А., Шабанов Г.И.</t>
  </si>
  <si>
    <t>978-5-16-017511-9</t>
  </si>
  <si>
    <t>Пензенский государственный технологический университет</t>
  </si>
  <si>
    <t>233700.05.01</t>
  </si>
  <si>
    <t>Математика и загадочный генет. код: Моногр. / В.М.Гупал- 2 изд.-М.:ИЦ РИОР, НИЦ ИНФРА-М,2023-290 с(О)</t>
  </si>
  <si>
    <t>МАТЕМАТИКА И ЗАГАДОЧНЫЙ ГЕНЕТИЧЕСКИЙ КОД, ИЗД.2</t>
  </si>
  <si>
    <t>Гупал В. М.</t>
  </si>
  <si>
    <t>978-5-369-01404-2</t>
  </si>
  <si>
    <t>01.03.01, 01.04.01, 02.03.01, 06.03.01, 19.03.01, 19.04.01, 44.03.05</t>
  </si>
  <si>
    <t>Военная академия Ракетных войск стратегического назначения им. Петра Великого</t>
  </si>
  <si>
    <t>742799.01.01</t>
  </si>
  <si>
    <t>Математические задачи координатно-измерит. машин / Н.Г.Чикуров-М.:НИЦ ИНФРА-М,2021.-150 с.(О)</t>
  </si>
  <si>
    <t>МАТЕМАТИЧЕСКИЕ ЗАДАЧИ КООРДИНАТНО-ИЗМЕРИТЕЛЬНЫХ МАШИН</t>
  </si>
  <si>
    <t>Чикуров Н.Г.</t>
  </si>
  <si>
    <t>978-5-16-016483-0</t>
  </si>
  <si>
    <t>15.03.03, 15.03.05, 15.03.06, 15.04.05, 15.06.01</t>
  </si>
  <si>
    <t>778790.01.01</t>
  </si>
  <si>
    <t>Математические задачи принятия реш...: Моногр. / А.Ф.Тараканов-М.:НИЦ ИНФРА-М,2022.-342 с.(О)</t>
  </si>
  <si>
    <t>МАТЕМАТИЧЕСКИЕ ЗАДАЧИ ПРИНЯТИЯ РЕШЕНИЙ В ДИНАМИЧЕСКИХ ОРГАНИЗАЦИОННЫХ СИСТЕМАХ</t>
  </si>
  <si>
    <t>Тараканов А.Ф.</t>
  </si>
  <si>
    <t>978-5-16-017744-1</t>
  </si>
  <si>
    <t>02.04.01, 02.06.01, 09.04.03, 09.06.01, 15.04.04, 15.06.01, 45.04.04</t>
  </si>
  <si>
    <t>Военно-воздушная академия им. профессора Н.Е. Жуковского и Ю.А. Гагарина (г. Воронеж), ф-л г.Челябин</t>
  </si>
  <si>
    <t>701115.02.01</t>
  </si>
  <si>
    <t>Математические задачи принятия реш.в орг.системах:Моногр./ А.Ф.Тараканов-М.:НИЦ ИНФРА-М,2023-246с(П)</t>
  </si>
  <si>
    <t>МАТЕМАТИЧЕСКИЕ ЗАДАЧИ ПРИНЯТИЯ РЕШЕНИЙ В ОРГАНИЗАЦИОННЫХ СИСТЕМАХ</t>
  </si>
  <si>
    <t>978-5-16-014807-6</t>
  </si>
  <si>
    <t>38.03.01, 38.04.02, 38.04.04, 38.04.05</t>
  </si>
  <si>
    <t>700727.02.01</t>
  </si>
  <si>
    <t>Математические модели в упр. производством меди: Моногр. / Н.В.Васильева - М.:НИЦ ИНФРА-М,2023-194 с.(О)</t>
  </si>
  <si>
    <t>МАТЕМАТИЧЕСКИЕ МОДЕЛИ В УПРАВЛЕНИИ ПРОИЗВОДСТВОМ МЕДИ: ИДЕИ, МЕТОДЫ, ПРИМЕРЫ</t>
  </si>
  <si>
    <t>Васильева Н.В.</t>
  </si>
  <si>
    <t>978-5-16-014986-8</t>
  </si>
  <si>
    <t>13.04.01, 22.04.01, 22.04.02, 22.06.01</t>
  </si>
  <si>
    <t>720661.07.01</t>
  </si>
  <si>
    <t>Материалы экстремистского характера...: Моногр. / Н.Ф.Бодров - М.:Юр.Норма, НИЦ ИНФРА-М,2026 - 160 с.(П)</t>
  </si>
  <si>
    <t>МАТЕРИАЛЫ ЭКСТРЕМИСТСКОГО ХАРАКТЕРА, РАСПРОСТРАНЯЕМЫЕ В СЕТИ ИНТЕРНЕТ: ПРОБЛЕМЫ СУДЕБНО-ЭКСПЕРТНОГО ИССЛЕДОВАНИЯ И ВОПРОСЫ КВАЛИФИКАЦИИ ПРЕСТУПЛЕНИЙ</t>
  </si>
  <si>
    <t>Бодров Н.Ф.</t>
  </si>
  <si>
    <t>978-5-00156-031-9</t>
  </si>
  <si>
    <t>078130.08.01</t>
  </si>
  <si>
    <t>Матрица преступности: Монография / Под ред. Овчинского В.С. - М.:НОРМА,2023.-112 с.(О)</t>
  </si>
  <si>
    <t>МАТРИЦА ПРЕСТУПНОСТИ</t>
  </si>
  <si>
    <t>Овчинский А. С., Чеботарева С. О., Овчинский В. С.</t>
  </si>
  <si>
    <t>978-5-468-00019-9</t>
  </si>
  <si>
    <t>Московский университет Министерства внутренних дел Российской Федерации имени В.Я. Кикотя, Рязанский филиал</t>
  </si>
  <si>
    <t>0106</t>
  </si>
  <si>
    <t>722474.07.01</t>
  </si>
  <si>
    <t>Машинный интеллект: Очерки по теории машинного обуч. / С.А.Шумский-М.:ИЦ РИОР, НИЦ ИНФРА-М,2025-340с(П)</t>
  </si>
  <si>
    <t>МАШИННЫЙ ИНТЕЛЛЕКТ</t>
  </si>
  <si>
    <t>Шумский С.А.</t>
  </si>
  <si>
    <t>978-5-369-01832-3</t>
  </si>
  <si>
    <t>01.04.02, 02.04.01, 02.04.02, 10.04.01, 15.04.04, 38.04.05</t>
  </si>
  <si>
    <t>Московский физико-технический институт (национальный исследовательский университет) МФТИ</t>
  </si>
  <si>
    <t>435500.08.01</t>
  </si>
  <si>
    <t>Мегаполис в зеркале социальной философии: Моногр./В.А.Есаков - М.:НИЦ ИНФРА-М,2025 - 176 с.(Науч.мысль)(о)</t>
  </si>
  <si>
    <t>МЕГАПОЛИС В ЗЕРКАЛЕ СОЦИАЛЬНОЙ ФИЛОСОФИИ</t>
  </si>
  <si>
    <t>Есаков В.А.</t>
  </si>
  <si>
    <t>978-5-16-011329-6</t>
  </si>
  <si>
    <t>40.03.01, 44.03.01, 44.03.05, 47.03.01, 47.04.01, 47.06.01</t>
  </si>
  <si>
    <t>Московский государственный институт культуры</t>
  </si>
  <si>
    <t>476700.11.01</t>
  </si>
  <si>
    <t>Медицинская биология: Энц. справ. / О.Ю.Смирнов - 2 изд. - М.:НИЦ ИНФРА-М,2025 - 607 с.(П)</t>
  </si>
  <si>
    <t>МЕДИЦИНСКАЯ БИОЛОГИЯ: ЭНЦИКЛОПЕДИЧЕСКИЙ СПРАВОЧНИК, ИЗД.2</t>
  </si>
  <si>
    <t>Смирнов О.Ю.</t>
  </si>
  <si>
    <t>978-5-16-016122-8</t>
  </si>
  <si>
    <t>30.05.01, 30.05.02, 31.05.01, 31.05.02, 31.05.03, 32.05.01, 33.05.01, 34.03.01</t>
  </si>
  <si>
    <t>Сумский государственный университет</t>
  </si>
  <si>
    <t>476700.05.01</t>
  </si>
  <si>
    <t>Медицинская биология: Энц. справ. / О.Ю.Смирнов - М.:Форум, НИЦ ИНФРА-М, 2020-608с.(ВО)(П)</t>
  </si>
  <si>
    <t>МЕДИЦИНСКАЯ БИОЛОГИЯ</t>
  </si>
  <si>
    <t>Смирнов  О.Ю.</t>
  </si>
  <si>
    <t>978-5-00091-177-8</t>
  </si>
  <si>
    <t>778503.02.01</t>
  </si>
  <si>
    <t>Медицинская оценка климатических условий Евпаторийского курорта / В.Н.Любчик-М.:НИЦ ИНФРА-М,2022.-213 с.(О)</t>
  </si>
  <si>
    <t>МЕДИЦИНСКАЯ ОЦЕНКА КЛИМАТИЧЕСКИХ УСЛОВИЙ ЕВПАТОРИЙСКОГО КУРОРТА</t>
  </si>
  <si>
    <t>978-5-16-017762-5</t>
  </si>
  <si>
    <t>05.04.02, 31.05.01, 49.03.03, 49.04.02</t>
  </si>
  <si>
    <t>632923.04.01</t>
  </si>
  <si>
    <t>Междисциплинарные исслед.личн.в социол.:Моногр. / К.К.Оганян-М.:НИЦ ИНФРА-М,2023-194с(Науч.мысль)(П)</t>
  </si>
  <si>
    <t>МЕЖДИСЦИПЛИНАРНЫЕ ИССЛЕДОВАНИЯ ЛИЧНОСТИ В СОЦИОЛОГИИ: СРАВНИТЕЛЬНЫЙ АНАЛИЗ</t>
  </si>
  <si>
    <t>978-5-16-012035-5</t>
  </si>
  <si>
    <t>39.04.01, 44.03.01, 44.03.05</t>
  </si>
  <si>
    <t>658767.08.01</t>
  </si>
  <si>
    <t>Международная террорист. орг.«Исламское гос.»: Моногр. / В.В.Красинский - М:НИЦ ИНФРА-М,2025 -110 с.(О)</t>
  </si>
  <si>
    <t>МЕЖДУНАРОДНАЯ ТЕРРОРИСТИЧЕСКАЯ ОРГАНИЗАЦИЯ «ИСЛАМСКОЕ ГОСУДАРСТВО»: ИСТОРИЯ, СОВРЕМЕННОСТЬ</t>
  </si>
  <si>
    <t>978-5-16-012878-8</t>
  </si>
  <si>
    <t>122400.10.01</t>
  </si>
  <si>
    <t>Международное правоохранит.право: Моногр. / Ю.С.Ромашев, - 3 изд. - М.:Юр.Норма, НИЦ ИНФРА-М,2025-352с(П)</t>
  </si>
  <si>
    <t>МЕЖДУНАРОДНОЕ ПРАВООХРАНИТЕЛЬНОЕ ПРАВО, ИЗД.3</t>
  </si>
  <si>
    <t>Ромашев Ю. С.</t>
  </si>
  <si>
    <t>978-5-91768-943-2</t>
  </si>
  <si>
    <t>0318</t>
  </si>
  <si>
    <t>122400.04.01</t>
  </si>
  <si>
    <t>Международное правоохранительное право: Моногр./Ю.С.Ромашев - 2 изд., доп.-М.:Юр.Норма, НИЦ ИНФРА-М,2015.-352 с.(п)</t>
  </si>
  <si>
    <t>МЕЖДУНАРОДНОЕ ПРАВООХРАНИТЕЛЬНОЕ ПРАВО, ИЗД.2</t>
  </si>
  <si>
    <t>Ромашев Ю.С.</t>
  </si>
  <si>
    <t>978-5-91768-384-3</t>
  </si>
  <si>
    <t>420420.06.01</t>
  </si>
  <si>
    <t>Международное публич. право..: Моногр./ Е.В.Сафронова - М.:ИЦ РИОР:НИЦ ИНФРА-М,2025 - 133 с.(Науч.мысль) (о)</t>
  </si>
  <si>
    <t>МЕЖДУНАРОДНОЕ ПУБЛИЧНОЕ ПРАВО: ТЕОРЕТИЧЕСКИЕ ПРОБЛЕМЫ</t>
  </si>
  <si>
    <t>Сафронова Е. В.</t>
  </si>
  <si>
    <t>978-5-369-01173-7</t>
  </si>
  <si>
    <t>275300.07.01</t>
  </si>
  <si>
    <t>Международное экологическое право и межд. отнош..: Моногр. / Д.С.Боклан - М:Магистр:ИНФРА-М,2025 - 272 с.(о)</t>
  </si>
  <si>
    <t>МЕЖДУНАРОДНОЕ ЭКОЛОГИЧЕСКОЕ ПРАВО И МЕЖДУНАРОДНЫЕ ЭКОНОМИЧЕСКИЕ ОТНОШЕНИЯ</t>
  </si>
  <si>
    <t>Боклан Д.С.</t>
  </si>
  <si>
    <t>978-5-9776-0311-9</t>
  </si>
  <si>
    <t>38.03.01, 38.04.01, 40.03.01, 40.04.01</t>
  </si>
  <si>
    <t>789948.01.01</t>
  </si>
  <si>
    <t>Международно-правов. основы защиты гражданских объектов в... / Ю.В.Пузырева-М.:НИЦ ИНФРА-М,2023.-153 с(О)</t>
  </si>
  <si>
    <t>МЕЖДУНАРОДНО-ПРАВОВЫЕ ОСНОВЫ ЗАЩИТЫ ГРАЖДАНСКИХ ОБЪЕКТОВ В ПЕРИОД ВООРУЖЕННЫХ КОНФЛИКТОВ</t>
  </si>
  <si>
    <t>978-5-16-018012-0</t>
  </si>
  <si>
    <t>40.04.01, 40.06.01, 56.04.01, 56.04.03, 56.04.12, 56.07.01</t>
  </si>
  <si>
    <t>823351.01.01</t>
  </si>
  <si>
    <t>Международно-правовая защита культур. ценностей в...: Моногр. / Ю.В.Пузырева - М.:НИЦ ИНФРА-М,2024. - 168 с.(о)</t>
  </si>
  <si>
    <t>МЕЖДУНАРОДНО-ПРАВОВАЯ ЗАЩИТА КУЛЬТУРНЫХ ЦЕННОСТЕЙ В МИРНОЕ И ВОЕННОЕ ВРЕМЯ</t>
  </si>
  <si>
    <t>978-5-16-019783-8</t>
  </si>
  <si>
    <t>778843.01.01</t>
  </si>
  <si>
    <t>Международно-правовое регулир. противодействия преступ..: Моногр. / А.И.Мысина-М.:НИЦ ИНФРА-М,2022.-167с(О)</t>
  </si>
  <si>
    <t>МЕЖДУНАРОДНО-ПРАВОВОЕ РЕГУЛИРОВАНИЕ ПРОТИВОДЕЙСТВИЯ ПРЕСТУПЛЕНИЯМ В СФЕРЕ ИНФОРМАЦИОННЫХ ТЕХНОЛОГИЙ</t>
  </si>
  <si>
    <t>Мысина А.И.</t>
  </si>
  <si>
    <t>978-5-16-017743-4</t>
  </si>
  <si>
    <t>695439.07.01</t>
  </si>
  <si>
    <t>Международно-правовые аспекты семейного права..: Моногр. /Тарасова А.Е. - М.:НИЦ ИНФРА-М,2024-378с(П)</t>
  </si>
  <si>
    <t>МЕЖДУНАРОДНО-ПРАВОВЫЕ АСПЕКТЫ СЕМЕЙНОГО ПРАВА И ЗАЩИТЫ ПРАВ ДЕТЕЙ: ПРОБЛЕМЫ МЕЖОТРАСЛЕВОГО ВЗАИМОДЕЙСТВИЯ СЕМЕЙНОГО И ИНЫХ ОТРАСЛЕЙ ЧАСТНОГО И ПУБЛИЧНОГО ПРАВА В ОБЛАСТИ СЕМЕЙНЫХ ОТНОШЕНИЙ И ПРАВ ДЕТЕЙ: МЕЖДУНАРОДНЫЕ (УНИВЕРСАЛЬНЫЕ, РЕГИОНАЛЬНЫЕ) И НАЦИОНАЛЬНЫЕ ИНСТИТУТЫ</t>
  </si>
  <si>
    <t>Тарасова А.Е., Александрова А.В., Арзуманян А.Б. и др.</t>
  </si>
  <si>
    <t>978-5-16-014575-4</t>
  </si>
  <si>
    <t>757828.01.01</t>
  </si>
  <si>
    <t>Международно-правовые основы сотруд. гос.: Моногр. / К.И.Зимина-М.:НИЦ ИНФРА-М,2022.-187 с.(Науч.мысль)(О)</t>
  </si>
  <si>
    <t>МЕЖДУНАРОДНО-ПРАВОВЫЕ ОСНОВЫ СОТРУДНИЧЕСТВА ГОСУДАРСТВ ПО ПРОТИВОДЕЙСТВИЮ НЕЗАКОННОМУ ОБОРОТУ МЕДИЦИНСКОЙ ПРОДУКЦИИ</t>
  </si>
  <si>
    <t>Зимина К.И.</t>
  </si>
  <si>
    <t>978-5-16-017055-8</t>
  </si>
  <si>
    <t>677990.06.01</t>
  </si>
  <si>
    <t>Международные валютно-фин.отнош. в постиндустр.мире: Моногр. / Е.В.Зенкина - М.:НИЦ ИНФРА-М,2025 - 169 с.(П)</t>
  </si>
  <si>
    <t>МЕЖДУНАРОДНЫЕ ВАЛЮТНО-ФИНАНСОВЫЕ ОТНОШЕНИЯ В ПОСТИНДУСТРИАЛЬНОМ МИРЕ</t>
  </si>
  <si>
    <t>Зенкина Е.В.</t>
  </si>
  <si>
    <t>978-5-16-013682-0</t>
  </si>
  <si>
    <t>169950.09.01</t>
  </si>
  <si>
    <t>Международные преступления: сов. проблемы..: Моногр. / А.Ю.Скуратова-М.:Юр.Норма, ИНФРА-М,2024-160с.(О)</t>
  </si>
  <si>
    <t>МЕЖДУНАРОДНЫЕ ПРЕСТУПЛЕНИЯ: СОВРЕМЕННЫЕ ПРОБЛЕМЫ КВАЛИФИКАЦИИ</t>
  </si>
  <si>
    <t>Скуратова А. Ю.</t>
  </si>
  <si>
    <t>978-5-91768-232-7</t>
  </si>
  <si>
    <t>175300.08.01</t>
  </si>
  <si>
    <t>Международные съезды по вопросам угол. права..: Моногр. / П.И. Люблинский - М: НИЦ Инфра-М, 2025-350с. (п)</t>
  </si>
  <si>
    <t>МЕЖДУНАРОДНЫЕ СЪЕЗДЫ ПО ВОПРОСАМ УГОЛОВНОГО ПРАВА ЗА ДЕСЯТЬ ЛЕТ (1905-1915)</t>
  </si>
  <si>
    <t>Люблинский П. И., Овчинский В. С., Федоров А. В.</t>
  </si>
  <si>
    <t>978-5-16-004417-0</t>
  </si>
  <si>
    <t>177050.07.01</t>
  </si>
  <si>
    <t>Международные факторы произв.в нац.экон.: Моногр./Б.Б.Логинов-М.:НИЦ ИНФРА-М,2023-312с(Науч.мысль)(о)</t>
  </si>
  <si>
    <t>МЕЖДУНАРОДНЫЕ ФАКТОРЫ ПРОИЗВОДСТВА В НАЦИОНАЛЬНЫХ ЭКОНОМИКАХ</t>
  </si>
  <si>
    <t>Логинов Б. Б., Руднева А. О.</t>
  </si>
  <si>
    <t>978-5-16-005376-9</t>
  </si>
  <si>
    <t>680306.03.01</t>
  </si>
  <si>
    <t>Международные финансовые стандарты в заруб. доктрине.../ В.В.Кудряшов-М.:НИЦ ИНФРА-М,2023.-249с(О)</t>
  </si>
  <si>
    <t>МЕЖДУНАРОДНЫЕ ФИНАНСОВЫЕ СТАНДАРТЫ В ЗАРУБЕЖНОЙ ДОКТРИНЕ МЕЖДУНАРОДНОГО ФИНАНСОВОГО ПРАВА</t>
  </si>
  <si>
    <t>Кудряшов В.В.</t>
  </si>
  <si>
    <t>978-5-16-013737-7</t>
  </si>
  <si>
    <t>38.03.01, 38.04.01, 38.04.08, 40.03.01, 40.04.01, 44.03.05</t>
  </si>
  <si>
    <t>834548.01.01</t>
  </si>
  <si>
    <t>Международные экономические отношения: Сб. науч. трудов / отв. ред. С.И.Крупко-М.:Юр. НОРМА,2024.-464 с.(п)</t>
  </si>
  <si>
    <t>МЕЖДУНАРОДНЫЕ ЭКОНОМИЧЕСКИЕ ОТНОШЕНИЯ: ПУБЛИЧНО-ПРАВОВОЕ И ЧАСТНОПРАВОВОЕ РЕГУЛИРОВАНИЕ. СБОРНИК СТАТЕЙ В ЧЕСТЬ 100-ЛЕТИЯ СО ДНЯ РОЖДЕНИЯ ПРОФЕССОРА,</t>
  </si>
  <si>
    <t>Крупко С.И., Зыкин И.С., Трунк А. и др.</t>
  </si>
  <si>
    <t>978-5-00156-380-8</t>
  </si>
  <si>
    <t>40.03.01, 40.05.02, 40.05.04</t>
  </si>
  <si>
    <t>848080.01.01</t>
  </si>
  <si>
    <t>Межконфессиональные браки согласно ислам. праву: теор... / Д.Т.Кулиев - М.:НИЦ ИНФРА-М,2025. - 179 с.(о)</t>
  </si>
  <si>
    <t>МЕЖКОНФЕССИОНАЛЬНЫЕ БРАКИ СОГЛАСНО ИСЛАМСКОМУ ПРАВУ: ТЕОРИЯ И ПРАКТИКА</t>
  </si>
  <si>
    <t>Кулиев Д.Т.</t>
  </si>
  <si>
    <t>978-5-16-020638-7</t>
  </si>
  <si>
    <t>40.05.01, 40.05.02, 40.05.04, 40.06.01</t>
  </si>
  <si>
    <t>Российский университет кооперации</t>
  </si>
  <si>
    <t>780085.01.01</t>
  </si>
  <si>
    <t>Межкультурная коммуникация в глобальном мире: моделир..: Моногр. / С.А.Большунова-М.:НИЦ ИНФРА-М,2023-266с.(п)</t>
  </si>
  <si>
    <t>МЕЖКУЛЬТУРНАЯ КОММУНИКАЦИЯ В ГЛОБАЛЬНОМ МИРЕ: МОДЕЛИРОВАНИЕ, ЭФФЕКТИВНОСТЬ, ДОВЕРИЕ</t>
  </si>
  <si>
    <t>Большунова С.А., Воеводина Е.В., Дягилев В.В. и др.</t>
  </si>
  <si>
    <t>978-5-16-017897-4</t>
  </si>
  <si>
    <t>37.04.01, 37.04.02, 37.05.02, 37.06.01</t>
  </si>
  <si>
    <t>744104.03.01</t>
  </si>
  <si>
    <t>Менеджеры университета: теория: Моногр. / С.Д.Резник - 2 изд.-М.:НИЦ ИНФРА-М,2023.-306 с..-(Науч.мысль)(О)</t>
  </si>
  <si>
    <t>МЕНЕДЖЕРЫ УНИВЕРСИТЕТА: ТЕОРИЯ, ПРАКТИКА И ЭФФЕКТИВНОСТЬ ОРГАНИЗАЦИИ ЛИЧНОЙ РАБОТЫ, ИЗД.2</t>
  </si>
  <si>
    <t>Резник С.Д., Чемезов И.С., Резник С.Д.</t>
  </si>
  <si>
    <t>978-5-16-016498-4</t>
  </si>
  <si>
    <t>353500.05.01</t>
  </si>
  <si>
    <t>Менеджмент персонала корпорации: Моногр. / Н.М.Кузьмина - М.:НИЦ ИНФРА-М,2023 - 245 с.(Науч.мысль)(П)</t>
  </si>
  <si>
    <t>МЕНЕДЖМЕНТ ПЕРСОНАЛА КОРПОРАЦИИ</t>
  </si>
  <si>
    <t>978-5-16-010890-2</t>
  </si>
  <si>
    <t>38.03.03, 38.04.03</t>
  </si>
  <si>
    <t>818414.01.01</t>
  </si>
  <si>
    <t>Менеджмент. Избр. статьи. Кн.8.Менеджмент в строительстве...: Моногр. / С.Д.Резник-М.:НИЦ ИНФРА-М,2024.-392 с.(о)</t>
  </si>
  <si>
    <t>МЕНЕДЖМЕНТ. ИЗБРАННЫЕ СТАТЬИ. КНИГА 8, Т.8</t>
  </si>
  <si>
    <t>978-5-16-019506-3</t>
  </si>
  <si>
    <t>00.03.15, 00.05.15, 38.03.02, 38.04.02, 38.04.03, 38.04.04, 38.06.01, 44.06.01</t>
  </si>
  <si>
    <t>415600.05.01</t>
  </si>
  <si>
    <t>Менеджмент. Кн. 3. Управление семьей, домашним хозяйством, персональный менеджмент: монография / С.Д.Резник-М.:НИЦ ИНФРА-М,2018.-263с. (Научн.мысль)(о</t>
  </si>
  <si>
    <t>МЕНЕДЖМЕНТ. КНИГА 3. УПРАВЛЕНИЕ СЕМЬЕЙ, ДОМАШНИМ ХОЗЯЙСТВОМ, ПЕРСОНАЛЬНЫЙ МЕНЕДЖМЕНТ</t>
  </si>
  <si>
    <t>Резник С. Д.</t>
  </si>
  <si>
    <t>978-5-16-006235-8</t>
  </si>
  <si>
    <t>08.02.14, 38.03.02, 38.03.03, 38.04.02, 38.04.03, 44.03.05</t>
  </si>
  <si>
    <t>742688.02.01</t>
  </si>
  <si>
    <t>Менеджмент. Кн. 7: Менеджмент в вузе: Моногр. / С.Д.Резник-М.:НИЦ ИНФРА-М,2024.-323 с.(Науч.мысль)(о)</t>
  </si>
  <si>
    <t>МЕНЕДЖМЕНТ. КН. 7: МЕНЕДЖМЕНТ В ВУЗЕ, Т.7</t>
  </si>
  <si>
    <t>978-5-16-013924-1</t>
  </si>
  <si>
    <t>38.04.02, 38.04.03, 38.04.04, 38.06.01</t>
  </si>
  <si>
    <t>674948.03.01</t>
  </si>
  <si>
    <t>Менеджмент: Кн. 6: Управ. чел. потенциалом...: Моногр. / С.Д.Резник-М.:НИЦ ИНФРА-М,2023.-357 с.(О)</t>
  </si>
  <si>
    <t>МЕНЕДЖМЕНТ: КНИГА ШЕСТАЯ: УПРАВЛЕНИЕ ЧЕЛОВЕЧЕСКИМ ПОТЕНЦИАЛОМ В СОЦИАЛЬНО-ЭКОНОМИЧЕСКИХ СИСТЕМАХ, Т.6</t>
  </si>
  <si>
    <t>978-5-16-013570-0</t>
  </si>
  <si>
    <t>38.03.02, 38.03.03, 41.03.06</t>
  </si>
  <si>
    <t>415400.06.01</t>
  </si>
  <si>
    <t>Менеджмент: Кн.1: Общие пробл. менеджмента...: Избр. статьи /С.Д.Резник-ИНФРА-М,2024-277с (о)</t>
  </si>
  <si>
    <t>МЕНЕДЖМЕНТ. КНИГА 1. ОБЩИЕ ПРОБЛЕМЫ МЕНЕДЖМЕНТА, УПРАВЛЕНИЕ ЧЕЛОВЕЧЕСКИМ ПОТЕНЦИАЛОМ В СТРОИТЕЛЬСТВЕ</t>
  </si>
  <si>
    <t>978-5-16-006232-7</t>
  </si>
  <si>
    <t>08.03.01, 08.04.01, 38.03.02, 38.04.02, 44.03.05</t>
  </si>
  <si>
    <t>415500.06.01</t>
  </si>
  <si>
    <t>Менеджмент: Кн.2: Управл. высш. школой и науч. деят./С.Д.Резник - ИНФРА-М, 2024-359с.(Науч. мысль) (о)</t>
  </si>
  <si>
    <t>МЕНЕДЖМЕНТ. КНИГА 2. УПРАВЛЕНИЕ ВЫСШЕЙ ШКОЛОЙ И НАУЧНОЙ ДЕЯТЕЛЬНОСТЬЮ</t>
  </si>
  <si>
    <t>978-5-16-006234-1</t>
  </si>
  <si>
    <t>38.03.02, 38.04.02, 44.03.05</t>
  </si>
  <si>
    <t>266200.04.01</t>
  </si>
  <si>
    <t>Менеджмент: Кн.4: Упр. человеч. потенц. в соц.-эк..: Моногр. / С.Д.Резник - М.: ИНФРА-М,2022 - 319 с (о)</t>
  </si>
  <si>
    <t>МЕНЕДЖМЕНТ</t>
  </si>
  <si>
    <t>978-5-16-009584-4</t>
  </si>
  <si>
    <t>38.03.02, 38.03.03, 38.04.02, 41.03.06</t>
  </si>
  <si>
    <t>128135.12.01</t>
  </si>
  <si>
    <t>Менеджмент: основные термины и понятия: Сл. / Г.В.Кисляков - 2 изд.-М.:НИЦ ИНФРА-М,2024.-176 с.(О)</t>
  </si>
  <si>
    <t>МЕНЕДЖМЕНТ: ОСНОВНЫЕ ТЕРМИНЫ И ПОНЯТИЯ, ИЗД.2</t>
  </si>
  <si>
    <t>Кисляков Г.В., Кислякова Н.А.</t>
  </si>
  <si>
    <t>978-5-16-009748-0</t>
  </si>
  <si>
    <t>38.02.01, 38.02.02, 38.02.03, 38.02.06, 38.02.07, 38.02.08, 38.03.01, 38.03.02, 38.03.03, 38.03.04, 38.03.05, 38.03.06, 38.03.07, 38.03.10, 38.05.01, 38.05.02, 43.02.06, 43.02.11, 43.02.16, 46.02.01</t>
  </si>
  <si>
    <t>638370.07.01</t>
  </si>
  <si>
    <t>Менеджмент: традиц.и совр. модели: Справ.пос. / В.В.Филатов -М.:НИЦ ИНФРА-М,2024-474(Спр.ИНФРА-М)(П)</t>
  </si>
  <si>
    <t>МЕНЕДЖМЕНТ: ТРАДИЦИОННЫЕ И СОВРЕМЕННЫЕ МОДЕЛИ</t>
  </si>
  <si>
    <t>Филатов В.В., Петросян Д.С., Алексеев А.Е. и др.</t>
  </si>
  <si>
    <t>978-5-16-012235-9</t>
  </si>
  <si>
    <t>656472.11.01</t>
  </si>
  <si>
    <t>Менталитет, ментальность и этнопсихолог. особ. китайцев / В.В.Собольников - М.:Вуз. уч.,НИЦ ИНФРА-М,2026 - 160 с.(о)</t>
  </si>
  <si>
    <t>МЕНТАЛИТЕТ, МЕНТАЛЬНОСТЬ И ЭТНОПСИХОЛОГИЧЕСКИЕ ОСОБЕННОСТИ КИТАЙЦЕВ</t>
  </si>
  <si>
    <t>Собольников В.В.</t>
  </si>
  <si>
    <t>978-5-9558-0561-0</t>
  </si>
  <si>
    <t>37.03.01, 38.03.01, 38.03.02, 38.03.03, 38.04.01, 38.04.02, 38.04.03, 43.03.02, 43.03.03</t>
  </si>
  <si>
    <t>683363.09.01</t>
  </si>
  <si>
    <t>Ментальность поколений в текучей современности: Моногр. / В.И.Пищик - М.:НИЦ ИНФРА-М,2025 - 150 с.(О)</t>
  </si>
  <si>
    <t>МЕНТАЛЬНОСТЬ ПОКОЛЕНИЙ В ТЕКУЧЕЙ СОВРЕМЕННОСТИ</t>
  </si>
  <si>
    <t>Пищик В.И.</t>
  </si>
  <si>
    <t>978-5-16-014155-8</t>
  </si>
  <si>
    <t>39.03.01, 39.04.01, 39.06.01, 47.04.01, 47.06.01</t>
  </si>
  <si>
    <t>269400.04.01</t>
  </si>
  <si>
    <t>Меры юридической ответств.: Моногр./ Д.А.Липинский- 2 изд.-М.:ИЦ РИОР, НИЦ ИНФРА-М,2023.-231с(О)</t>
  </si>
  <si>
    <t>МЕРЫ ЮРИДИЧЕСКОЙ ОТВЕТСТВЕННОСТИ, ИЗД.2</t>
  </si>
  <si>
    <t>Липинский Д. А., Хачатуров Р. Л., Шишкин А. Г.</t>
  </si>
  <si>
    <t>978-5-369-01335-9</t>
  </si>
  <si>
    <t>269400.03.01</t>
  </si>
  <si>
    <t>Меры юридической ответственности: Моногр./ Д.А.Липинский -М.:ИЦ РИОР, НИЦ ИНФРА-М,2020.-231 с.(Науч.мысль)(О)</t>
  </si>
  <si>
    <t>МЕРЫ ЮРИДИЧЕСКОЙ ОТВЕТСТВЕННОСТИ</t>
  </si>
  <si>
    <t>642423.05.01</t>
  </si>
  <si>
    <t>Местное управление в США: орг. и..: Моногр. / А.И.Черкасов -М.:Юр.Норма, НИЦ ИНФРА-М,2024-80с(о)</t>
  </si>
  <si>
    <t>МЕСТНОЕ  УПРАВЛЕНИЕ В США: ОРГАНИЗАЦИЯ И ТЕНДЕНЦИИ РАЗВИТИЯ</t>
  </si>
  <si>
    <t>Черкасов А.И.</t>
  </si>
  <si>
    <t>978-5-91768-778-0</t>
  </si>
  <si>
    <t>38.04.04, 40.03.01, 40.04.01</t>
  </si>
  <si>
    <t>828937.01.01</t>
  </si>
  <si>
    <t>Местные сообщества: Моногр. / С.Ю.Наумов. - М.:НИЦ ИНФРА-М,2026. - 220 с.(Науч.мысль)(п)</t>
  </si>
  <si>
    <t>МЕСТНЫЕ СООБЩЕСТВА</t>
  </si>
  <si>
    <t>Наумов С.Ю., Зюзин С.Ю., Ведяева Е.С. и др.</t>
  </si>
  <si>
    <t>978-5-16-020674-5</t>
  </si>
  <si>
    <t>169300.11.01</t>
  </si>
  <si>
    <t>Месть и возмездие в древнем праве: Моногр./ Г.В. Мальцев. - М.: Норма:  НИЦ ИНФРА-М, 2026. - 736 с.(п)</t>
  </si>
  <si>
    <t>МЕСТЬ И ВОЗМЕЗДИЕ В ДРЕВНЕМ ПРАВЕ</t>
  </si>
  <si>
    <t>978-5-91768-217-4</t>
  </si>
  <si>
    <t>635926.07.01</t>
  </si>
  <si>
    <t>Метаболический синдром — переедание физиолог. пищи.: Моногр. / В.Н.Титов - М.:НИЦ ИНФРА-М,2025 - 310 с.(о)</t>
  </si>
  <si>
    <t>МЕТАБОЛИЧЕСКИЙ СИНДРОМ — ПЕРЕЕДАНИЕ ФИЗИОЛОГИЧЕСКОЙ ПИЩИ. ВИСЦЕРАЛЬНЫЕ ЖИРОВЫЕ КЛЕТКИ, НЕЭТЕРИФИЦИРОВАННЫЕ СВОБОДНЫЕ ЖИРНЫЕ КИСЛОТЫ. ФИЛОГЕНЕЗ, ПАТОГЕНЕЗ, ДИАГНОСТИКА, ПРОФИЛАКТИКА)</t>
  </si>
  <si>
    <t>978-5-16-019385-4</t>
  </si>
  <si>
    <t>150100.08.01</t>
  </si>
  <si>
    <t>Металлография металлов, порошковых материалов...: Моногр. / В.Н.Гадалов - М.:НИЦ ИНФРА-М,2026 - 468 с.(п)</t>
  </si>
  <si>
    <t>МЕТАЛЛОГРАФИЯ МЕТАЛЛОВ, ПОРОШКОВЫХ МАТЕРИАЛОВ И ПОКРЫТИЙ, ПОЛУЧЕННЫХ ЭЛЕКТРОИСКРОВЫМИ СПОСОБАМИ</t>
  </si>
  <si>
    <t>Гадалов В.Н., Сальников В.Г., Агеев Е.В. и др.</t>
  </si>
  <si>
    <t>978-5-16-009752-7</t>
  </si>
  <si>
    <t>22.03.02, 22.04.02</t>
  </si>
  <si>
    <t>163950.06.01</t>
  </si>
  <si>
    <t>Метафизика веры в рус. философии: Моногр. / С.А.Нижников, - 2 изд.-М.:НИЦ ИНФРА-М,2023.-312 с.(Науч.мысль)(О)</t>
  </si>
  <si>
    <t>МЕТАФИЗИКА ВЕРЫ В РУССКОЙ ФИЛОСОФИИ, ИЗД.2</t>
  </si>
  <si>
    <t>Нижников С.А.</t>
  </si>
  <si>
    <t>978-5-16-010328-0</t>
  </si>
  <si>
    <t>40.03.01, 44.03.01, 44.03.05, 47.03.01, 47.03.03, 47.04.01, 47.04.03, 48.03.01, 48.04.01</t>
  </si>
  <si>
    <t>728268.01.01</t>
  </si>
  <si>
    <t>Метафизика творчества: Монография / О.В.Архипова - М.:НИЦ ИНФРА-М,2021 - 186 с.(Науч.мысль)(О)</t>
  </si>
  <si>
    <t>МЕТАФИЗИКА ТВОРЧЕСТВА</t>
  </si>
  <si>
    <t>Архипова О.В., Шор Ю.М.</t>
  </si>
  <si>
    <t>978-5-16-015993-5</t>
  </si>
  <si>
    <t>771221.01.01</t>
  </si>
  <si>
    <t>Метафорические параллели нейтральной номинации...: Моногр. / О.К.Баваева-М.:НИЦ ИНФРА-М,2022.-182 с.(О)</t>
  </si>
  <si>
    <t>МЕТАФОРИЧЕСКИЕ ПАРАЛЛЕЛИ НЕЙТРАЛЬНОЙ НОМИНАЦИИ «ЧЕЛОВЕК» В СОВРЕМЕННОМ АНГЛИЙСКОМ ЯЗЫКЕ</t>
  </si>
  <si>
    <t>Баваева О.К.</t>
  </si>
  <si>
    <t>978-5-16-017491-4</t>
  </si>
  <si>
    <t>45.03.01, 45.04.01, 45.04.02, 45.05.01</t>
  </si>
  <si>
    <t>312000.04.01</t>
  </si>
  <si>
    <t>Метаэвристические алгоритмы поиска оптимального.: Моногр. / А.В.Пантелеев-М.:НИЦ ИНФРА-М,2024-396(о)</t>
  </si>
  <si>
    <t>МЕТАЭВРИСТИЧЕСКИЕ АЛГОРИТМЫ ПОИСКА ОПТИМАЛЬНОГО ПРОГРАММНОГО УПРАВЛЕНИЯ</t>
  </si>
  <si>
    <t>Пантелеев А.В., Скавинская Д.В., Алёшина Е.А.</t>
  </si>
  <si>
    <t>978-5-16-019642-8</t>
  </si>
  <si>
    <t>01.03.04</t>
  </si>
  <si>
    <t>Московский авиационный институт (национальный исследовательский университет)</t>
  </si>
  <si>
    <t>815316.01.01</t>
  </si>
  <si>
    <t>Метаэкономикс: Монография / В.С.Гродский-М.:НИЦ ИНФРА-М,2024.-239 с.(Науч.мысль)(о)</t>
  </si>
  <si>
    <t>МЕТАЭКОНОМИКС</t>
  </si>
  <si>
    <t>Гродский В.С.</t>
  </si>
  <si>
    <t>978-5-16-019708-1</t>
  </si>
  <si>
    <t>490350.05.01</t>
  </si>
  <si>
    <t>Методика анализа финансового состояния и...: Монография / Ю.И.Сигидов и др.-М.:НИЦ ИНФРА-М,2024-120с</t>
  </si>
  <si>
    <t>МЕТОДИКА АНАЛИЗА ФИНАНСОВОГО СОСТОЯНИЯ И ОЦЕНКА ПОТЕНЦИАЛЬНОСТИ БАНКРОТСТВА СЕЛЬСКОХОЗЯЙСТВЕННЫХ ОРГАНИЗАЦИЙ</t>
  </si>
  <si>
    <t>Сигидов Ю.И., С.А.Кучеренко, Н.С.Жминько</t>
  </si>
  <si>
    <t>978-5-16-010865-0</t>
  </si>
  <si>
    <t>38.03.01, 38.03.02, 38.03.05, 38.04.01, 38.04.02, 38.04.05, 38.04.08, 38.06.01</t>
  </si>
  <si>
    <t>477050.10.01</t>
  </si>
  <si>
    <t>Методика аудитор. проверки: Моногр. / Под ред. Барышникова Н.Г.-М.:НИЦ ИНФРА-М,2023-231с.(Науч.мысль)(о)</t>
  </si>
  <si>
    <t>МЕТОДИКА АУДИТОРСКОЙ ПРОВЕРКИ: ПРОЦЕДУРЫ, СОВЕТЫ, РЕКОМЕНДАЦИИ</t>
  </si>
  <si>
    <t>Самыгин Д.Ю., Барышников Н.Г., Тусков А.А. и др.</t>
  </si>
  <si>
    <t>978-5-16-010238-2</t>
  </si>
  <si>
    <t>443750.07.01</t>
  </si>
  <si>
    <t>Методика выбора ключевой информ. для алгоритма..: Моногр. / О.Н.Жданов-М.: НИЦ ИНФРА-М, 2024-88с.(О)</t>
  </si>
  <si>
    <t>МЕТОДИКА ВЫБОРА КЛЮЧЕВОЙ ИНФОРМАЦИИ ДЛЯ АЛГОРИТМА БЛОЧНОГО ШИФРОВАНИЯ</t>
  </si>
  <si>
    <t>Жданов О.Н.</t>
  </si>
  <si>
    <t>978-5-16-006890-9</t>
  </si>
  <si>
    <t>01.03.01, 01.03.04, 01.04.01, 01.04.02, 01.04.04, 02.03.01, 02.04.01</t>
  </si>
  <si>
    <t>095610.15.01</t>
  </si>
  <si>
    <t>Методика расслед. преступл.: теор. основы: Моногр. / В.Е.Корноухов -М:Норма,НИЦ ИНФРА-М,2024-224с(О)</t>
  </si>
  <si>
    <t>МЕТОДИКА РАССЛЕДОВАНИЯ ПРЕСТУПЛЕНИЙ: ТЕОРЕТИЧЕСКИЕ ОСНОВЫ</t>
  </si>
  <si>
    <t>Корноухов В. Е.</t>
  </si>
  <si>
    <t>978-5-91768-263-1</t>
  </si>
  <si>
    <t>658849.05.01</t>
  </si>
  <si>
    <t>Методико-инструм. обесп. терм. управл. эконом. региона: Моногр./З.В.Брагина-М.:НИЦ ИНФРА-М,2024-159с(о)</t>
  </si>
  <si>
    <t>МЕТОДИКО-ИНСТРУМЕНТАЛЬНОЕ ОБЕСПЕЧЕНИЕ ТЕРМИНАЛЬНОГО УПРАВЛЕНИЯ ЭКОНОМИКОЙ РЕГИОНА</t>
  </si>
  <si>
    <t>Брагина З.В., Туманова Е.Н.</t>
  </si>
  <si>
    <t>978-5-16-018754-9</t>
  </si>
  <si>
    <t>790153.01.01</t>
  </si>
  <si>
    <t>Методические аспекты оценки сис. внутр. контроля орг. / С.А.Касьянова.-М.:НИЦ ИНФРА-М,2023.-334 с.(о)</t>
  </si>
  <si>
    <t>МЕТОДИЧЕСКИЕ АСПЕКТЫ ОЦЕНКИ СИСТЕМЫ ВНУТРЕННЕГО КОНТРОЛЯ ОРГАНИЗАЦИИ</t>
  </si>
  <si>
    <t>Касьянова С.А., Салий В.В., Шарудина З.А.</t>
  </si>
  <si>
    <t>978-5-16-018055-7</t>
  </si>
  <si>
    <t>38.04.01, 38.04.02, 38.04.06, 38.04.08, 38.05.01, 38.06.01, 38.07.02</t>
  </si>
  <si>
    <t>Российский экономический университет им. Г.В. Плеханова, Краснодарский ф-л</t>
  </si>
  <si>
    <t>285200.07.01</t>
  </si>
  <si>
    <t>Методические основы инжен.-техн. творчества: Моногр./М.А.Шустов -М.:НИЦ ИНФРА-М,2022-128(Науч.мысль)</t>
  </si>
  <si>
    <t>МЕТОДИЧЕСКИЕ ОСНОВЫ ИНЖЕНЕРНО-ТЕХНИЧЕСКОГО ТВОРЧЕСТВА</t>
  </si>
  <si>
    <t>Шустов М.А.</t>
  </si>
  <si>
    <t>978-5-16-009927-9</t>
  </si>
  <si>
    <t>00.04.16, 09.04.04, 28.04.02</t>
  </si>
  <si>
    <t>468050.04.01</t>
  </si>
  <si>
    <t>Методические основы формирования маркетинговых..: Моногр./Д.С.Садриев-М.:НИЦ ИНФРА-М,2024.-180 с.(О)</t>
  </si>
  <si>
    <t>МЕТОДИЧЕСКИЕ ОСНОВЫ ФОРМИРОВАНИЯ МАРКЕТИНГОВЫХ КАНАЛОВ РАСПРЕДЕЛЕНИЯ ГОТОВОЙ ПРОДУКЦИИ</t>
  </si>
  <si>
    <t>Садриев Д.С., Андрианова Н.В.</t>
  </si>
  <si>
    <t>978-5-16-009856-2</t>
  </si>
  <si>
    <t>38.03.01, 38.03.02, 38.03.05, 38.04.01, 38.04.02, 41.03.06, 44.03.01, 44.03.05</t>
  </si>
  <si>
    <t>797090.01.01</t>
  </si>
  <si>
    <t>Методолог. проблемы уголов. права и криминологии..: Моногр. / Юзиханов Э.Г.-М.:НИЦ ИНФРА-М,2023.-166 с.(П)</t>
  </si>
  <si>
    <t>МЕТОДОЛОГИЧЕСКИЕ ПРОБЛЕМЫ УГОЛОВНОГО ПРАВА И КРИМИНОЛОГИИ: ЭПИСТЕМОЛОГИЧЕСКИЙ РАКУРС</t>
  </si>
  <si>
    <t>Шиханов В.Н., Юзиханова Э.Г.</t>
  </si>
  <si>
    <t>978-5-16-018198-1</t>
  </si>
  <si>
    <t>40.04.01, 40.05.01, 40.05.02, 40.05.03, 40.05.04, 40.06.01, 44.05.01</t>
  </si>
  <si>
    <t>Университет прокуратуры Российской Федерации, ф-л Иркутский юридический институт</t>
  </si>
  <si>
    <t>803414.02.01</t>
  </si>
  <si>
    <t>Методологические основания исслед. правовых ценностей: Моногр. / Н.А.Власенко-М.:Юр. НОРМА,2024.-200 с.(п)</t>
  </si>
  <si>
    <t>МЕТОДОЛОГИЧЕСКИЕ ОСНОВАНИЯ ИССЛЕДОВАНИЯ ПРАВОВЫХ ЦЕННОСТЕЙ</t>
  </si>
  <si>
    <t>978-5-00156-305-1</t>
  </si>
  <si>
    <t>230100.09.01</t>
  </si>
  <si>
    <t>Методологические основы судеб.-экон.эксперт..: Моногр. / Т.В.Котенева - 3 изд. - М.:НИЦ ИНФРА-М,2022-219с(П)</t>
  </si>
  <si>
    <t>МЕТОДОЛОГИЧЕСКИЕ ОСНОВЫ СУДЕБНО-ЭКОНОМИЧЕСКОЙ ЭКСПЕРТИЗЫ, ИЗД.3</t>
  </si>
  <si>
    <t>Котенева Т.В.</t>
  </si>
  <si>
    <t>978-5-16-014306-4</t>
  </si>
  <si>
    <t>Самарский государственный экономический университет</t>
  </si>
  <si>
    <t>230100.06.01</t>
  </si>
  <si>
    <t>Методологические основы судеб.-экон.эксперт..:Моногр./Т.В.Котенева,2изд.-М.:НИЦ ИНФРА-М,2018-212с(п)</t>
  </si>
  <si>
    <t>МЕТОДОЛОГИЧЕСКИЕ ОСНОВЫ СУДЕБНО-ЭКОНОМИЧЕСКОЙ ЭКСПЕРТИЗЫ, ИЗД.2</t>
  </si>
  <si>
    <t>КотеневаТ.В.</t>
  </si>
  <si>
    <t>978-5-16-011317-3</t>
  </si>
  <si>
    <t>230100.10.01</t>
  </si>
  <si>
    <t>Методологические основы судеб.-эконом экспертизы / Т.В.Котенева - 4 изд. - М.:НИЦ ИНФРА-М,2025. - 219 с.(п)</t>
  </si>
  <si>
    <t>МЕТОДОЛОГИЧЕСКИЕ ОСНОВЫ СУДЕБНО-ЭКОНОМИЧЕСКОЙ ЭКСПЕРТИЗЫ, ИЗД.4</t>
  </si>
  <si>
    <t>978-5-16-020327-0</t>
  </si>
  <si>
    <t>0425</t>
  </si>
  <si>
    <t>717932.04.01</t>
  </si>
  <si>
    <t>Методологические подходы к орг. регион. экономики: Моногр. / И.Л.Беилин - М.:НИЦ ИНФРА-М,2023-202c(О)</t>
  </si>
  <si>
    <t>МЕТОДОЛОГИЧЕСКИЕ ПОДХОДЫ К ОРГАНИЗАЦИИ РЕГИОНАЛЬНОЙ ЭКОНОМИКИ</t>
  </si>
  <si>
    <t>Беилин И.Л., Хоменко В.В., Кох И.А.</t>
  </si>
  <si>
    <t>978-5-16-015681-1</t>
  </si>
  <si>
    <t>38.03.01, 38.04.01, 38.04.04, 38.06.01</t>
  </si>
  <si>
    <t>Российский государственный университет правосудия, Казанский ф-л</t>
  </si>
  <si>
    <t>699213.02.01</t>
  </si>
  <si>
    <t>Методологические подходы формир. и прогнозир. новых секторов... / З.А.Васильева.-М.:НИЦ ИНФРА-М,2023-116с(О)</t>
  </si>
  <si>
    <t>МЕТОДОЛОГИЧЕСКИЕ ПОДХОДЫ ФОРМИРОВАНИЯ И ПРОГНОЗИРОВАНИЯ НОВЫХ СЕКТОРОВ ЭКОНОМИКИ СЫРЬЕВЫХ РЕГИОНОВ</t>
  </si>
  <si>
    <t>Васильева З.А., Вчерашний П.М., Филимоненко И.В. и др.</t>
  </si>
  <si>
    <t>978-5-16-014716-1</t>
  </si>
  <si>
    <t>38.03.01, 38.04.01, 38.04.04</t>
  </si>
  <si>
    <t>239300.09.01</t>
  </si>
  <si>
    <t>Методология и технология имитац. исслед. слож. сист.: Моногр. / В.В.Девятков - М.:Вуз. уч.:ИНФРА-М,2025 - 448 с. (п)</t>
  </si>
  <si>
    <t>МЕТОДОЛОГИЯ И ТЕХНОЛОГИЯ ИМИТАЦИОННЫХ ИССЛЕДОВАНИЙ СЛОЖНЫХ СИСТЕМ: СОВРЕМЕННОЕ СОСТОЯНИЕ И ПЕРСПЕКТИВЫ РАЗВИТИЯ</t>
  </si>
  <si>
    <t>Девятков В. В.</t>
  </si>
  <si>
    <t>978-5-9558-0338-8</t>
  </si>
  <si>
    <t>01.03.03, 01.04.03, 02.03.01, 02.03.02, 02.03.03, 02.04.01, 02.04.02, 02.04.03, 03.03.03</t>
  </si>
  <si>
    <t>ЭЛИНА - КОМПЬЮТЕР ООО</t>
  </si>
  <si>
    <t>335200.08.01</t>
  </si>
  <si>
    <t>Методология исслед.компетенций персонала орг.: Моногр./О.Л.Чуланова-М.:НИЦ ИНФРА-М,2022.-121 с.(о)</t>
  </si>
  <si>
    <t>МЕТОДОЛОГИЯ ИССЛЕДОВАНИЯ КОМПЕТЕНЦИЙ ПЕРСОНАЛА ОРГАНИЗАЦИЙ</t>
  </si>
  <si>
    <t>Чуланова О.Л.</t>
  </si>
  <si>
    <t>978-5-16-010660-1</t>
  </si>
  <si>
    <t>38.03.01, 38.03.03, 38.04.03, 41.03.06</t>
  </si>
  <si>
    <t>651739.03.01</t>
  </si>
  <si>
    <t>Методология научно-гуманитар. познания: Моногр./ Е.А.Соколков-М.:Вуз. уч., НИЦ ИНФРА-М,2020.-350 с.(Науч. книга)(П)</t>
  </si>
  <si>
    <t>МЕТОДОЛОГИЯ НАУЧНО-ГУМАНИТАРНОГО ПОЗНАНИЯ</t>
  </si>
  <si>
    <t>Соколков Е.А.</t>
  </si>
  <si>
    <t>978-5-9558-0543-6</t>
  </si>
  <si>
    <t>850641.01.01</t>
  </si>
  <si>
    <t>Методология обуч. детей и подростков с сахарным диабетом... / Г.И.Чуваков - М.:НИЦ ИНФРА-М,2026. - 239 с.(п)</t>
  </si>
  <si>
    <t>МЕТОДОЛОГИЯ ОБУЧЕНИЯ ДЕТЕЙ И ПОДРОСТКОВ С САХАРНЫМ ДИАБЕТОМ САМОКОНТРОЛЮ ЗАБОЛЕВАНИЯ С УЧЕТОМ ИХ ПСИХОЛОГИЧЕСКОГО СТАТУСА</t>
  </si>
  <si>
    <t>Чуваков Г.И., Чувакова О.А.</t>
  </si>
  <si>
    <t>978-5-16-020791-9</t>
  </si>
  <si>
    <t>31.05.02, 31.08.17</t>
  </si>
  <si>
    <t>657141.12.01</t>
  </si>
  <si>
    <t>Методология педагогики: Моногр. / Е.А.Александрова - М.:НИЦ ИНФРА-М,2025 - 296 с.(Науч.мысль)(о)</t>
  </si>
  <si>
    <t>МЕТОДОЛОГИЯ ПЕДАГОГИКИ</t>
  </si>
  <si>
    <t>Александрова Е.А., Асадуллин Р.М., Бережнова Е.В. и др.</t>
  </si>
  <si>
    <t>978-5-16-019358-8</t>
  </si>
  <si>
    <t>44.03.01, 44.03.03, 44.03.05, 44.04.04</t>
  </si>
  <si>
    <t>693932.08.01</t>
  </si>
  <si>
    <t>Методология права. Предмет, функции...: Моногр. /Д.А.Керимов - 3 изд. - М.:Юр.Норма, НИЦ ИНФРА-М,2026 - 524 с.(П)</t>
  </si>
  <si>
    <t>МЕТОДОЛОГИЯ ПРАВА. ПРЕДМЕТ, ФУНКЦИИ, ПРОБЛЕМЫ ФИЛОСОФИИ ПРАВА, ИЗД.3</t>
  </si>
  <si>
    <t>Керимов Д.А.</t>
  </si>
  <si>
    <t>978-5-91768-966-1</t>
  </si>
  <si>
    <t>40.03.01, 41.03.01, 41.03.06</t>
  </si>
  <si>
    <t>Ленинградский государственный университет им. А.С. Пушкина</t>
  </si>
  <si>
    <t>670060.03.01</t>
  </si>
  <si>
    <t>Методология проектир. реечных передач для машин..: Моногр. / Г.Н.Лимаренко-М.:НИЦ ИНФРА-М,СФУ,2023-363с</t>
  </si>
  <si>
    <t>МЕТОДОЛОГИЯ ПРОЕКТИРОВАНИЯ РЕЕЧНЫХ ПЕРЕДАЧ ДЛЯ МАШИН С АВТОМАТИЗИРОВАННЫМ ПРИВОДОМ</t>
  </si>
  <si>
    <t>Лимаренко Г.Н.</t>
  </si>
  <si>
    <t>978-5-16-013362-1</t>
  </si>
  <si>
    <t>15.04.01, 15.04.02, 15.06.01</t>
  </si>
  <si>
    <t>331600.05.01</t>
  </si>
  <si>
    <t>Методология риск ориентиров. контроля...: Моногр. /Казакова Н.А. - 2- изд.-М.:НИЦ ИНФРА-М,2021-234с.(о)</t>
  </si>
  <si>
    <t>МЕТОДОЛОГИЯ РИСК ОРИЕНТИРОВАННОГО КОНТРОЛЯ И КОНТРОЛЛИНГА ЭФФЕКТИВНОСТИ БИЗНЕСА, ИЗД.2</t>
  </si>
  <si>
    <t>978-5-16-014912-7</t>
  </si>
  <si>
    <t>445800.05.01</t>
  </si>
  <si>
    <t>Методология стратег. планир. рос. трансрег. корпораций: Моногр. /Ю.Н.Иванова -М: НИЦ ИНФРА-М, 2024 -228с</t>
  </si>
  <si>
    <t>МЕТОДОЛОГИЯ СТРАТЕГИЧЕСКОГО ПЛАНИРОВАНИЯ РОССИЙСКИХ ТРАНСРЕГИОНАЛЬНЫХ КОРПОРАЦИЙ</t>
  </si>
  <si>
    <t>Иванова Ю.Н.</t>
  </si>
  <si>
    <t>978-5-16-011393-7</t>
  </si>
  <si>
    <t>38.03.01, 38.04.01, 38.05.01</t>
  </si>
  <si>
    <t>169350.12.01</t>
  </si>
  <si>
    <t>Методология управления проектами...: Моногр. / О.Н.Ильина - 2 изд. - М.:НИЦ ИНФРА-М,2025. - 215 с.(о)</t>
  </si>
  <si>
    <t>МЕТОДОЛОГИЯ УПРАВЛЕНИЯ ПРОЕКТАМИ: СТАНОВЛЕНИЕ, СОВРЕМЕННОЕ СОСТОЯНИЕ И ПЕРСПЕКТИВЫ РАЗВИТИЯ, ИЗД.2</t>
  </si>
  <si>
    <t>Ильина О.Н.</t>
  </si>
  <si>
    <t>978-5-16-019624-4</t>
  </si>
  <si>
    <t>27.03.05, 27.04.05, 38.03.01, 38.03.02, 38.03.04, 38.04.01, 38.04.02, 38.04.04, 41.03.06, 44.03.05</t>
  </si>
  <si>
    <t>169350.08.01</t>
  </si>
  <si>
    <t>Методология управления проектами: Моногр. / О.Н.Ильина - М.:Вуз.уч., НИЦ ИНФРА-М,2024.- 208 с.-(О)</t>
  </si>
  <si>
    <t>МЕТОДОЛОГИЯ УПРАВЛЕНИЯ ПРОЕКТАМИ: СТАНОВЛЕНИЕ, СОВРЕМЕННОЕ СОСТОЯНИЕ И РАЗВИТИЕ</t>
  </si>
  <si>
    <t>Ильина О. Н.</t>
  </si>
  <si>
    <t>978-5-9558-0400-2</t>
  </si>
  <si>
    <t>700702.02.01</t>
  </si>
  <si>
    <t>Методология учетно-аналитич. обесп.системы...: Моногр. / Н.С.Пласкова-М.:НИЦ ИНФРА-М,2023-179с(О)</t>
  </si>
  <si>
    <t>МЕТОДОЛОГИЯ УЧЕТНО-АНАЛИТИЧЕСКОГО ОБЕСПЕЧЕНИЯ СИСТЕМЫ УПРАВЛЕНИЯ ИННОВАЦИОННОЙ ДЕЯТЕЛЬНОСТЬЮ</t>
  </si>
  <si>
    <t>Пласкова Н.С., Полянская Т.А., Проданова Н.А.</t>
  </si>
  <si>
    <t>978-5-16-015052-9</t>
  </si>
  <si>
    <t>766073.01.01</t>
  </si>
  <si>
    <t>Методология учетно-аналитич. обеспеч. контроллинга в сис...: Моногр. / Н.С.Пласкова-М.:НИЦ ИНФРА-М,2022.-198 с.(П)</t>
  </si>
  <si>
    <t>МЕТОДОЛОГИЯ УЧЕТНО-АНАЛИТИЧЕСКОГО ОБЕСПЕЧЕНИЯ КОНТРОЛЛИНГА В СИСТЕМЕ УПРАВЛЕНИЯ ОРГАНИЗАЦИЕЙ</t>
  </si>
  <si>
    <t>Пласкова Н.С.</t>
  </si>
  <si>
    <t>978-5-16-017318-4</t>
  </si>
  <si>
    <t>38.02.06, 38.04.01, 38.04.02, 38.04.08, 38.06.01, 56.05.01</t>
  </si>
  <si>
    <t>767314.01.01</t>
  </si>
  <si>
    <t>Методология формир. механизма устойчивого развития предпр... / Д.В.Бирюков-М.:НИЦ ИНФРА-М,2022-219 с(О)</t>
  </si>
  <si>
    <t>МЕТОДОЛОГИЯ ФОРМИРОВАНИЯ МЕХАНИЗМА УСТОЙЧИВОГО РАЗВИТИЯ ПРЕДПРИЯТИЙ ПРОМЫШЛЕННОГО КОМПЛЕКСА</t>
  </si>
  <si>
    <t>Бирюков Д.В., Вакуленко Р.Я., Джунушалиева Г.Д. и др.</t>
  </si>
  <si>
    <t>978-5-16-017319-1</t>
  </si>
  <si>
    <t>38.03.01, 38.04.01, 38.04.02, 38.06.01</t>
  </si>
  <si>
    <t>369000.05.01</t>
  </si>
  <si>
    <t>Методология формир. моделей взаимод. человека..: Моногр./ В.М.Пищулов-М.:НИЦ ИНФРА-М,2023.-218 с.(Науч.мысль)(о)</t>
  </si>
  <si>
    <t>МЕТОДОЛОГИЯ ФОРМИРОВАНИЯ МОДЕЛЕЙ ВЗАИМОДЕЙСТВИЯ ЧЕЛОВЕКА С ОКРУЖАЮЩЕЙ СРЕДОЙ</t>
  </si>
  <si>
    <t>978-5-16-019541-4</t>
  </si>
  <si>
    <t>414050.06.01</t>
  </si>
  <si>
    <t>Методология формирования релевантной информ..:Моногр./Н.А.Казакова-М:НИЦ ИНФРА-М,2024-248с(Науч.мыс)</t>
  </si>
  <si>
    <t>МЕТОДОЛОГИЯ ФОРМИРОВАНИЯ РЕЛЕВАНТНОЙ ИНФОРМАЦИИ В УСЛОВИЯХ ГЛОБАЛИЗАЦИИ ЭКОНОМИЧЕСКИХ ПРОЦЕССОВ</t>
  </si>
  <si>
    <t>Казакова Н. А., Трофимова Л. Б., Федченко Е. А.</t>
  </si>
  <si>
    <t>978-5-16-006474-1</t>
  </si>
  <si>
    <t>753474.03.01</t>
  </si>
  <si>
    <t>Методы Data mining в обработке и анализе статистич. данных (реш. в R) / Е.В.Зарова-М.:НИЦ ИНФРА-М,2021.-232 с.(П)</t>
  </si>
  <si>
    <t>МЕТОДЫ DATA MINING В ОБРАБОТКЕ И АНАЛИЗЕ СТАТИСТИЧЕСКИХ ДАННЫХ (РЕШЕНИЯ В R)</t>
  </si>
  <si>
    <t>Зарова Е.В.</t>
  </si>
  <si>
    <t>978-5-16-016814-2</t>
  </si>
  <si>
    <t>15.03.01, 15.03.02, 15.03.03, 15.03.04, 15.03.05, 15.03.06</t>
  </si>
  <si>
    <t>Аналитический центр г. Москвы</t>
  </si>
  <si>
    <t>665991.02.01</t>
  </si>
  <si>
    <t>Методы и алгоритмы синтеза и анализа конструкт.: Моногр. / С.Х.Якубов - М.:НИЦ ИНФРА-М,2024-164с(П)</t>
  </si>
  <si>
    <t>МЕТОДЫ И АЛГОРИТМЫ СИНТЕЗА И АНАЛИЗА КОНСТРУКТОРСКИХ И ТЕХНОЛОГИЧЕСКИХ РЕШЕНИЙ В СИСТЕМЕ АВТОМАТИЗИРОВАННОГО ПРОЕКТИРОВАНИЯ ИНЖЕНЕРНЫХ КОНСТРУКЦИЙ...</t>
  </si>
  <si>
    <t>Якубов С.Х.</t>
  </si>
  <si>
    <t>978-5-16-013407-9</t>
  </si>
  <si>
    <t>15.03.01, 15.03.02, 15.03.03, 15.03.04, 15.03.05, 15.03.06, 15.04.01, 15.04.02, 15.04.03, 15.04.04, 15.04.05, 15.04.06, 15.05.01</t>
  </si>
  <si>
    <t>Каршинский государственный университет</t>
  </si>
  <si>
    <t>824722.01.01</t>
  </si>
  <si>
    <t>Методы математич. обосн. реш. на примен. сил и средств ОВД МВД.../В.А.Мельничук-М.:НИЦ ИНФРА-М,2024.-163с(о)</t>
  </si>
  <si>
    <t>МЕТОДЫ МАТЕМАТИЧЕСКОГО ОБОСНОВАНИЯ РЕШЕНИЙ НА ПРИМЕНЕНИЕ СИЛ И СРЕДСТВ ОРГАНОВ ВНУТРЕННИХ ДЕЛ МВД РОССИИ ПРИ ЛИКВИДАЦИИ ПОСЛЕДСТВИЙ ЧРЕЗВЫЧАЙНЫХ СИТУАЦИЙ</t>
  </si>
  <si>
    <t>Мельничук В.А., Горелов С.А., Михайлов О.Г. и др.</t>
  </si>
  <si>
    <t>978-5-16-019823-1</t>
  </si>
  <si>
    <t>40.04.01, 40.05.02</t>
  </si>
  <si>
    <t>Санкт-Петербургский университет Министерства внутренних дел России</t>
  </si>
  <si>
    <t>151200.07.01</t>
  </si>
  <si>
    <t>Методы менеджмента кач-ва. Методол. организ... /П.С.Серенков-М:Инфра-М; Мн:Нов. знан., 2022-491с(ВО)</t>
  </si>
  <si>
    <t>МЕТОДЫ МЕНЕДЖМЕНТА КАЧЕСТВА. МЕТОДОЛОГИЯ ОРГАНИЗАЦИОННОГО ПРОЕКТИРОВАНИЯ ИНЖЕНЕРНОЙ СОСТАВЛЯЮЩЕЙ СИСТЕМЫ МЕНЕДЖМЕНТА КАЧЕСТВА</t>
  </si>
  <si>
    <t>Серенков П. С.</t>
  </si>
  <si>
    <t>978-5-16-004962-5</t>
  </si>
  <si>
    <t>20.03.02, 27.03.01, 27.03.02, 27.04.05, 28.03.02, 29.03.03, 38.03.02, 38.03.04, 38.04.02, 38.04.04, 41.03.06</t>
  </si>
  <si>
    <t>803518.01.01</t>
  </si>
  <si>
    <t>Методы обеспеч. устойчивости финанс. соц. сферы: Моногр. / Ю.Ж.Будаева-М.:НИЦ ИНФРА-М,2024.-248 с.(о)</t>
  </si>
  <si>
    <t>МЕТОДЫ ОБЕСПЕЧЕНИЯ УСТОЙЧИВОСТИ ФИНАНСОВ СОЦИАЛЬНОЙ СФЕРЫ</t>
  </si>
  <si>
    <t>Будаева Ю.Ж., Дохоян З.М., Шубина Т.В.</t>
  </si>
  <si>
    <t>978-5-16-019237-6</t>
  </si>
  <si>
    <t>39.04.02, 39.06.01</t>
  </si>
  <si>
    <t>669459.09.01</t>
  </si>
  <si>
    <t>Методы определения навигац.параметров подвиж.средств..: Моногр. / В.Н.Тяпкин - М.:НИЦ ИНФРА-М, СФУ,2026 - 260 с.(П)</t>
  </si>
  <si>
    <t>МЕТОДЫ ОПРЕДЕЛЕНИЯ НАВИГАЦИОННЫХ ПАРАМЕТРОВ ПОДВИЖНЫХ СРЕДСТВ С ИСПОЛЬЗОВАНИЕМ СПУТНИКОВОЙ РАДИОНАВИГАЦИОННОЙ СИСТЕМЫ ГЛОНАСС</t>
  </si>
  <si>
    <t>Тяпкин В.Н., Гарин Е.Н.</t>
  </si>
  <si>
    <t>978-5-16-017324-5</t>
  </si>
  <si>
    <t>11.04.01, 11.04.02, 11.04.03, 11.05.01, 11.05.02, 11.05.04, 11.06.01</t>
  </si>
  <si>
    <t>656574.06.01</t>
  </si>
  <si>
    <t>Методы оценки качества жизни населения и соц-эк. диффер..:Моногр./А.А.Митрошин-М.:НИЦ ИНФРА-М,2024-96с(О)</t>
  </si>
  <si>
    <t>МЕТОДЫ ОЦЕНКИ КАЧЕСТВА ЖИЗНИ НАСЕЛЕНИЯ И СОЦИАЛЬНО-ЭКОНОМИЧЕСКОЙ ДИФФЕРЕНЦИАЦИИ ТЕРРИТОРИЙ</t>
  </si>
  <si>
    <t>Митрошин А.А., Шитова Ю.Ю., Шитов Ю.А.</t>
  </si>
  <si>
    <t>978-5-16-013591-5</t>
  </si>
  <si>
    <t>Университет "Дубна"</t>
  </si>
  <si>
    <t>704179.03.01</t>
  </si>
  <si>
    <t>Методы оценки эффект. упр. производ.-фин. деят. предп.: Моногр./А.В.Мищенко-М.:НИЦ ИНФРА-М,2023-338с</t>
  </si>
  <si>
    <t>МЕТОДЫ ОЦЕНКИ ЭФФЕКТИВНОСТИ УПРАВЛЕНИЯ ПРОИЗВОДСТВЕННО-ФИНАНСОВОЙ ДЕЯТЕЛЬНОСТЬЮ ПРЕДПРИЯТИЯ</t>
  </si>
  <si>
    <t>Мищенко А.В., Михеева Е.В.</t>
  </si>
  <si>
    <t>978-5-16-015286-8</t>
  </si>
  <si>
    <t>685008.06.01</t>
  </si>
  <si>
    <t>Методы повышения производительности и оплаты труда / Б.М.Генкин - М.:Юр.Норма, НИЦ ИНФРА-М,2025 - 160 с.(П)</t>
  </si>
  <si>
    <t>МЕТОДЫ ПОВЫШЕНИЯ ПРОИЗВОДИТЕЛЬНОСТИ И ОПЛАТЫ ТРУДА</t>
  </si>
  <si>
    <t>Генкин Б.М.</t>
  </si>
  <si>
    <t>978-5-91768-937-1</t>
  </si>
  <si>
    <t>658922.10.01</t>
  </si>
  <si>
    <t>Методы самонавед. истреб.и ракет кл. «воздух-воздух» / Под ред. Кучина А.А. - М.:ИНФРА-М, СФУ,2026 - 168 с.(о)</t>
  </si>
  <si>
    <t>МЕТОДЫ САМОНАВЕДЕНИЯ ИСТРЕБИТЕЛЕЙ И РАКЕТ КЛАССА «ВОЗДУХ-ВОЗДУХ» НА ГРУППОВУЮ ВОЗДУШНУЮ ЦЕЛЬ</t>
  </si>
  <si>
    <t>Богданов А.В., Филонов А.А., Ковалев А.А. и др.</t>
  </si>
  <si>
    <t>978-5-16-016311-6</t>
  </si>
  <si>
    <t>24.04.01, 24.05.01, 24.06.01</t>
  </si>
  <si>
    <t>700766.03.01</t>
  </si>
  <si>
    <t>Методы теории катастроф в феномен. фазовых переходов: Моногр. / С.В.Павлов-М.:НИЦ ИНФРА-М,2023.-176 с(О)</t>
  </si>
  <si>
    <t>МЕТОДЫ ТЕОРИИ КАТАСТРОФ В ФЕНОМЕНОЛОГИИ ФАЗОВЫХ ПЕРЕХОДОВ</t>
  </si>
  <si>
    <t>978-5-16-014798-7</t>
  </si>
  <si>
    <t>01.04.04, 01.06.01, 03.04.02, 03.06.01, 04.03.02</t>
  </si>
  <si>
    <t>737037.01.01</t>
  </si>
  <si>
    <t>Методы финансового планирования и оценки..: Моногр. / А.В.Мищенко-М.:НИЦ ИНФРА-М,2023.-304 с.(О)</t>
  </si>
  <si>
    <t>МЕТОДЫ ФИНАНСОВОГО ПЛАНИРОВАНИЯ И ОЦЕНКИ ЭФФЕКТИВНОСТИ УПРАВЛЕНИЯ ПРОИЗВОДСТВЕННО-ФИНАНСОВОЙ ДЕЯТЕЛЬНОСТЬЮ ПРЕДПРИЯТИЯ</t>
  </si>
  <si>
    <t>Мищенко А.В., Пилюгина А.В.</t>
  </si>
  <si>
    <t>978-5-16-017783-0</t>
  </si>
  <si>
    <t>791570.02.01</t>
  </si>
  <si>
    <t>Методы цифровой обработки и распознавания речи / А.Г.Шишкин - М.:НИЦ ИНФРА-М,2024. - 347 с.(о)</t>
  </si>
  <si>
    <t>МЕТОДЫ ЦИФРОВОЙ ОБРАБОТКИ И РАСПОЗНАВАНИЯ РЕЧИ</t>
  </si>
  <si>
    <t>Шишкин А.Г.</t>
  </si>
  <si>
    <t>978-5-16-018017-5</t>
  </si>
  <si>
    <t>01.04.02, 01.06.01, 02.04.02, 02.06.01, 09.04.03, 09.04.04, 09.06.01, 10.05.03, 10.06.01, 45.04.04, 45.06.01</t>
  </si>
  <si>
    <t>Московский государственный университет им. М.В. Ломоносова, факультет вычислительной математики и кибернетики</t>
  </si>
  <si>
    <t>660849.03.01</t>
  </si>
  <si>
    <t>Методы эконом. оценки устойч.развития предп.: Моногр./ И.Г.Кукукина - М.:НИЦ ИНФРА-М,2022 - 202 с.(П)</t>
  </si>
  <si>
    <t>МЕТОДЫ ЭКОНОМИЧЕСКОЙ ОЦЕНКИ УСТОЙЧИВОСТИ РАЗВИТИЯ ПРЕДПРИЯТИЯ</t>
  </si>
  <si>
    <t>Кукукина И.Г., Климова С.В.</t>
  </si>
  <si>
    <t>978-5-16-013096-5</t>
  </si>
  <si>
    <t>418200.04.01</t>
  </si>
  <si>
    <t>Методы, модели и алгоритмы в автоматизир...: Моногр. / М.В.Головицына-М.:НИЦ ИНФРА-М,2019-276с.(О)</t>
  </si>
  <si>
    <t>МЕТОДЫ, МОДЕЛИ И АЛГОРИТМЫ В АВТОМАТИЗИРОВАННОЙ ПОДГОТОВКЕ И ОПЕРАТИВНОМ УПРАВЛЕНИИ ПРОИЗВОДСТВОМ РЭС</t>
  </si>
  <si>
    <t>Головицына М.В.</t>
  </si>
  <si>
    <t>978-5-16-009773-2</t>
  </si>
  <si>
    <t>11.04.01, 11.04.02, 11.04.03, 11.04.04</t>
  </si>
  <si>
    <t>801665.01.01</t>
  </si>
  <si>
    <t>Механизм административно-правового регулир. в сфере ВО: Моногр. / С.М.Рукавишников-М.:Юр. НОРМА,2023.-128с(П)</t>
  </si>
  <si>
    <t>МЕХАНИЗМ АДМИНИСТРАТИВНО-ПРАВОВОГО РЕГУЛИРОВАНИЯ В СФЕРЕ ВЫСШЕГО ОБРАЗОВАНИЯ И ПОДГОТОВКИ НАУЧНО-ПЕДАГОГИЧЕСКИХ КАДРОВ</t>
  </si>
  <si>
    <t>С.М. Рукавишников</t>
  </si>
  <si>
    <t>978-5-00156-300-6</t>
  </si>
  <si>
    <t>38.04.03, 40.04.01, 40.06.01, 44.04.02, 44.06.01</t>
  </si>
  <si>
    <t>135500.07.01</t>
  </si>
  <si>
    <t>Механизм гражданско-правовой защиты /Ю.Н. Андреев -М.: Юр.Норма, НИЦ ИНФРА-М, 2022. -464 с.</t>
  </si>
  <si>
    <t>МЕХАНИЗМ ГРАЖДАНСКО-ПРАВОВОЙ ЗАЩИТЫ</t>
  </si>
  <si>
    <t>Андреев Ю. Н.</t>
  </si>
  <si>
    <t>978-5-91768-128-3</t>
  </si>
  <si>
    <t>465550.07.01</t>
  </si>
  <si>
    <t>Механизм компл. оценки и упр. рисками...: Моногр. / М.Р.Дзагоева-М.:НИЦ ИНФРА-М,2024-120с.(о)</t>
  </si>
  <si>
    <t>МЕХАНИЗМ КОМПЛЕКСНОЙ ОЦЕНКИ И УПРАВЛЕНИЯ РИСКАМИ ПРЕДПРИЯТИЙ ПРОМЫШЛЕННОСТИ</t>
  </si>
  <si>
    <t>Дзагоева М.Р., Цховребов А.Р., Комаева Л.Э.</t>
  </si>
  <si>
    <t>978-5-16-009698-8</t>
  </si>
  <si>
    <t>Северо-Осетинский государственный университет им. К.Л. Хетагурова</t>
  </si>
  <si>
    <t>638288.02.01</t>
  </si>
  <si>
    <t>Механизм этической ответственности судьи.: Моногр. / М.И.Клеандров-М.:Юр.Норма,НИЦ ИНФРА-М,2017-240с</t>
  </si>
  <si>
    <t>МЕХАНИЗМ ЭТИЧЕСКОЙ ОТВЕТСТВЕННОСТИ СУДЬИ: ПРОБЛЕМЫ ФОРМИРОВАНИЯ</t>
  </si>
  <si>
    <t>Клеандров М.И.</t>
  </si>
  <si>
    <t>978-5-91768-757-5</t>
  </si>
  <si>
    <t>851140.02.01</t>
  </si>
  <si>
    <t>Механизмы повышения эффтив. услуг универ. центров трансфера... / В.В.Куимов. - М.:НИЦ ИНФРА-М,2025. - 171 с.(п)</t>
  </si>
  <si>
    <t>МЕХАНИЗМЫ ПОВЫШЕНИЯ ЭФФЕКТИВНОСТИ УСЛУГ УНИВЕРСИТЕТСКИХ ЦЕНТРОВ ТРАНСФЕРА ТЕХНОЛОГИЙ</t>
  </si>
  <si>
    <t>Куимов В.В., Астанков К.С., Щербенко Е.В. и др.</t>
  </si>
  <si>
    <t>978-5-16-020890-9</t>
  </si>
  <si>
    <t>38.04.01</t>
  </si>
  <si>
    <t>657429.04.01</t>
  </si>
  <si>
    <t>Механизмы управления государственными закупками: Моногр./ В.В.Иванов-М.:НИЦ ИНФРА-М,2020-207 с.(Науч.мысль)(П)</t>
  </si>
  <si>
    <t>МЕХАНИЗМЫ УПРАВЛЕНИЯ ГОСУДАРСТВЕННЫМИ ЗАКУПКАМИ</t>
  </si>
  <si>
    <t>Иванов В.В., Григ И.И.</t>
  </si>
  <si>
    <t>978-5-16-012870-2</t>
  </si>
  <si>
    <t>38.03.01, 38.04.04, 44.03.01</t>
  </si>
  <si>
    <t>668588.05.01</t>
  </si>
  <si>
    <t>Механические свойства алюминиевых сплавов: Моногр. / Н.А.Грищенко -М.:НИЦ ИНФРА-М, СФУ,2023-195с.(о)</t>
  </si>
  <si>
    <t>МЕХАНИЧЕСКИЕ СВОЙСТВА АЛЮМИНИЕВЫХ СПЛАВОВ</t>
  </si>
  <si>
    <t>Грищенко Н.А., Сидельников С.Б., Губанов И.Ю. и др.</t>
  </si>
  <si>
    <t>978-5-16-016397-0</t>
  </si>
  <si>
    <t>22.04.01, 22.04.02, 22.06.01</t>
  </si>
  <si>
    <t>740728.01.01</t>
  </si>
  <si>
    <t>Механохимический метод полиров. поликристаллич. алмаз. покрытия/ Д.Н.Охлупин-М.:НИЦ ИНФРА-М,2021.-123 с(О)</t>
  </si>
  <si>
    <t>МЕХАНОХИМИЧЕСКИЙ МЕТОД ПОЛИРОВАНИЯ ПОЛИКРИСТАЛЛИЧЕСКОГО АЛМАЗНОГО ПОКРЫТИЯ</t>
  </si>
  <si>
    <t>Охлупин Д.Н., Королев А.В., Синев И.В.</t>
  </si>
  <si>
    <t>978-5-16-016420-5</t>
  </si>
  <si>
    <t>15.03.01, 15.03.05, 15.04.01, 15.04.05, 15.06.01</t>
  </si>
  <si>
    <t>795016.01.01</t>
  </si>
  <si>
    <t>Миграционная деят. как вид правоохранит. деят.: Моногр. / К.В.Трифонова-М.:НИЦ ИНФРА-М,2023.-343 с.(п)</t>
  </si>
  <si>
    <t>МИГРАЦИОННАЯ ДЕЯТЕЛЬНОСТЬ КАК ВИД ПРАВООХРАНИТЕЛЬНОЙ ДЕЯТЕЛЬНОСТИ</t>
  </si>
  <si>
    <t>Трифонова К.В.</t>
  </si>
  <si>
    <t>978-5-16-018204-9</t>
  </si>
  <si>
    <t>40.04.01, 40.05.01, 40.05.02, 40.06.01, 41.04.05, 41.06.01</t>
  </si>
  <si>
    <t>Российский государственный университет правосудия, Крымский ф-л</t>
  </si>
  <si>
    <t>818589.01.01</t>
  </si>
  <si>
    <t>Миграционная правовая политика России: Моногр. / Л.В.Андриченко.-М.:Юр. НОРМА, НИЦ ИНФРА-М,2024.-288 с.(п)</t>
  </si>
  <si>
    <t>МИГРАЦИОННАЯ ПРАВОВАЯ ПОЛИТИКА РОССИИ: ТЕНДЕНЦИИ И ПУТИ РАЗВИТИЯ</t>
  </si>
  <si>
    <t>Андриченко Л.В., Дутов П., Емельянов А.С. и др.</t>
  </si>
  <si>
    <t>978-5-00156-352-5</t>
  </si>
  <si>
    <t>699269.04.01</t>
  </si>
  <si>
    <t>Миграционное законодательство РФ: тенденции.../Андриченко Л.В.-М.:Юр.Норма, НИЦ ИНФРА-М,2022-392с(П)</t>
  </si>
  <si>
    <t>МИГРАЦИОННОЕ ЗАКОНОДАТЕЛЬСТВО РОССИЙСКОЙ ФЕДЕРАЦИИ: ТЕНДЕНЦИИ РАЗВИТИЯ И ПРАКТИКА ПРИМЕНЕНИЯ</t>
  </si>
  <si>
    <t>Андриченко Л.В., Плюгина И.В.</t>
  </si>
  <si>
    <t>978-5-91768-989-0</t>
  </si>
  <si>
    <t>814638.01.01</t>
  </si>
  <si>
    <t>Миграционные процессы в условиях глобализации: Моногр. / К.В.Аршин - М.:НИЦ ИНФРА-М,2024. - 368 с.(п)</t>
  </si>
  <si>
    <t>МИГРАЦИОННЫЕ ПРОЦЕССЫ В УСЛОВИЯХ ГЛОБАЛИЗАЦИИ</t>
  </si>
  <si>
    <t>Аршин К.В.</t>
  </si>
  <si>
    <t>978-5-16-019312-0</t>
  </si>
  <si>
    <t>41.03.06, 41.04.05, 41.06.01</t>
  </si>
  <si>
    <t>Утверждено к печати решением Ученого совета Института философии РАН от 22 февраля 2024 г.</t>
  </si>
  <si>
    <t>Всероссийский научно-исследовательский институт картофельного хозяйства имени А.Г.Лорха</t>
  </si>
  <si>
    <t>785442.03.01</t>
  </si>
  <si>
    <t>Миграционный потенциал рос. регионов и перспективы единого... / М.Л.Галас - М.:НИЦ ИНФРА-М,2026. - 225 с.(П)</t>
  </si>
  <si>
    <t>МИГРАЦИОННЫЙ ПОТЕНЦИАЛ РОССИЙСКИХ РЕГИОНОВ И ПЕРСПЕКТИВЫ ЕДИНОГО ЕВРАЗИЙСКОГО РЫНКА ТРУДА</t>
  </si>
  <si>
    <t>Галас М.Л., Горошникова Т.А., Федорова И.Ю.</t>
  </si>
  <si>
    <t>978-5-16-017896-7</t>
  </si>
  <si>
    <t>38.04.01, 38.04.02, 38.06.01, 41.04.01, 41.04.04, 41.04.05, 46.04.01</t>
  </si>
  <si>
    <t>746304.01.01</t>
  </si>
  <si>
    <t>Миграция как способ реализации экологич. прав граждан: Моногр. / В.И.Евтушенко-М.:Юр.Норма,2020.-176 с.(П)</t>
  </si>
  <si>
    <t>МИГРАЦИЯ КАК СПОСОБ РЕАЛИЗАЦИИ ЭКОЛОГИЧЕСКИХ ПРАВ ГРАЖДАН</t>
  </si>
  <si>
    <t>Евтушенко В.И., Шпаковский Ю.Г.</t>
  </si>
  <si>
    <t>978-5-00156-105-7</t>
  </si>
  <si>
    <t>678054.06.01</t>
  </si>
  <si>
    <t>Микроорганизмы рода Nocardia и разлож.гумуса: Моногр. / Е.З.Теппер - М.:НИЦ ИНФРА-М,2025 - 224 с.(П)</t>
  </si>
  <si>
    <t>МИКРООРГАНИЗМЫ РОДА NOCARDIA И РАЗЛОЖЕНИЕ ГУМУСА</t>
  </si>
  <si>
    <t>Теппер Е.З.</t>
  </si>
  <si>
    <t>978-5-16-020524-3</t>
  </si>
  <si>
    <t>06.03.01, 06.04.01, 35.03.03</t>
  </si>
  <si>
    <t>400350.06.01</t>
  </si>
  <si>
    <t>Микроэкономический механизм НТП...: Моногр. / М.А.Шерстнев - М.:НИЦ ИНФРА-М,2023-112с.(Науч.мысль)(о)</t>
  </si>
  <si>
    <t>МИКРОЭКОНОМИЧЕСКИЙ МЕХАНИЗМ НТП В РАЗВИТОЙ РЫНОЧНОЙ ЭКОНОМИКЕ (НА МАТЕРИАЛАХ ОБРАБАТЫВАЮЩЕЙ ПРОМЫШЛЕННОСТИ США ВО ВТОРОЙ ПОЛОВИНЕ ХХ СТОЛЕТИЯ)</t>
  </si>
  <si>
    <t>Шерстнев М. А.</t>
  </si>
  <si>
    <t>978-5-16-005656-2</t>
  </si>
  <si>
    <t>38.03.01, 38.04.01, 44.03.01, 44.03.05</t>
  </si>
  <si>
    <t>739388.04.01</t>
  </si>
  <si>
    <t>Минеральная нефть: развитие представлений о..: Моногр. / Ю.И.Пиковский - М.:НИЦ ИНФРА-М,2024 - 350 с.(П)</t>
  </si>
  <si>
    <t>МИНЕРАЛЬНАЯ НЕФТЬ: РАЗВИТИЕ ПРЕДСТАВЛЕНИЙ О НЕОРГАНИЧЕСКОМ ПРОИСХОЖДЕНИИ МЕСТОРОЖДЕНИЙ НЕФТИ И ГАЗА</t>
  </si>
  <si>
    <t>Пиковский Ю.И.</t>
  </si>
  <si>
    <t>978-5-16-016645-2</t>
  </si>
  <si>
    <t>21.00.00, 05.03.01, 05.04.01, 05.06.01, 21.03.01, 21.04.01, 21.06.01</t>
  </si>
  <si>
    <t>466150.11.01</t>
  </si>
  <si>
    <t>Минеральные и костные нарушения при...: Моногр. / Милованова Л.Ю. - М.:НИЦ ИНФРА-М,2024 - 107 с.(О)</t>
  </si>
  <si>
    <t>МИНЕРАЛЬНЫЕ И КОСТНЫЕ НАРУШЕНИЯ ПРИ ХРОНИЧЕСКОЙ БОЛЕЗНИ ПОЧЕК: ПРОФИЛАКТИКА И ЛЕЧЕНИЕ</t>
  </si>
  <si>
    <t>Милованова Л.Ю., Милованов Ю.С., Козловская Л.В.</t>
  </si>
  <si>
    <t>978-5-16-009728-2</t>
  </si>
  <si>
    <t>768379.02.01</t>
  </si>
  <si>
    <t>Минеральные формации и петрология Тырныаузкого...: Моногр. / Е.Н.Граменицкий-М.:НИЦ ИНФРА-М,2024.-466 с.(П)</t>
  </si>
  <si>
    <t>МИНЕРАЛЬНЫЕ ФОРМАЦИИ И ПЕТРОЛОГИЯ ТЫРНЫАУЗКОГО ВОЛЬФРАМО-МОЛИБДЕНОВОГО МЕСТОРОЖДЕНИЯ</t>
  </si>
  <si>
    <t>Граменицкий Е.Н., Кононов О.В.</t>
  </si>
  <si>
    <t>978-5-16-017339-9</t>
  </si>
  <si>
    <t>05.03.01, 05.06.01</t>
  </si>
  <si>
    <t>000029.17.01</t>
  </si>
  <si>
    <t>Мини-грамматика англ. яз.: Справ. пос. / И.Е. Торбан - 3 изд. - М.: ИНФРА-М, 2026 - 112 с. (о. к/ф)</t>
  </si>
  <si>
    <t>МИНИ-ГРАММАТИКА АНГЛИЙСКОГО ЯЗЫКА, ИЗД.3</t>
  </si>
  <si>
    <t>978-5-16-003174-3</t>
  </si>
  <si>
    <t>00.02.02, 00.03.02, 00.05.02, 44.02.01</t>
  </si>
  <si>
    <t>0308</t>
  </si>
  <si>
    <t>843156.01.01</t>
  </si>
  <si>
    <t>Министерство внутр. дел Рос. империи..: Моногр. / А.А.Дерюгин. - М.:НИЦ ИНФРА-М,2025. - 152 с.(п)</t>
  </si>
  <si>
    <t>МИНИСТЕРСТВО ВНУТРЕННИХ ДЕЛ РОССИЙСКОЙ ИМПЕРИИ НА СТРАЖЕ ВНУТРЕННЕЙ И ВНЕШНЕЙ БЕЗОПАСНОСТИ ОТЕЧЕСТВА В XIX - НАЧ. XX ВВ. (ИСТОРИКО-ПРАВОВОЙ ОЧЕРК)</t>
  </si>
  <si>
    <t>Дерюгин А.А., Доронин А.М., Крижановская Г.Н. и др.</t>
  </si>
  <si>
    <t>978-5-16-020474-1</t>
  </si>
  <si>
    <t>387000.04.01</t>
  </si>
  <si>
    <t>Мир политики. Философское измерение: Монография / А.И.Демидов-М.:Юр.Норма, НИЦ ИНФРА-М,2023-272с.(П)</t>
  </si>
  <si>
    <t>МИР ПОЛИТИКИ. ФИЛОСОФСКОЕ ИЗМЕРЕНИЕ</t>
  </si>
  <si>
    <t>Демидов А.И.</t>
  </si>
  <si>
    <t>978-5-91768-732-2</t>
  </si>
  <si>
    <t>40.03.01, 41.04.04, 44.03.01, 44.03.05, 47.03.01</t>
  </si>
  <si>
    <t>764786.06.01</t>
  </si>
  <si>
    <t>Мировая экономика в период больших потрясений: Моногр. / Л.М.Григорьев - М.:НИЦ ИНФРА-М,2025.-576 с.(П)</t>
  </si>
  <si>
    <t>МИРОВАЯ ЭКОНОМИКА В ПЕРИОД БОЛЬШИХ ПОТРЯСЕНИЙ</t>
  </si>
  <si>
    <t>Бобылев С.Н., Голяшев А.В., Григорьев Л.М. и др.</t>
  </si>
  <si>
    <t>978-5-16-017493-8</t>
  </si>
  <si>
    <t>38.04.01, 38.04.04, 38.05.01, 38.05.02, 38.06.01, 38.07.02, 41.04.05, 41.06.01, 41.07.01</t>
  </si>
  <si>
    <t>767764.01.01</t>
  </si>
  <si>
    <t>Мировоззренческая инволюция: причины...: Моногр. / А.А.Лагунов-М.:НИЦ ИНФРА-М,2022.-195 с.(Науч.мысль)(О)</t>
  </si>
  <si>
    <t>МИРОВОЗЗРЕНЧЕСКАЯ ИНВОЛЮЦИЯ: ПРИЧИНЫ, ПОСЛЕДСТВИЯ И ПЕРСПЕКТИВЫ</t>
  </si>
  <si>
    <t>Лагунов А.А.</t>
  </si>
  <si>
    <t>978-5-16-017325-2</t>
  </si>
  <si>
    <t>Северо-Кавказский федеральный университет</t>
  </si>
  <si>
    <t>660674.05.01</t>
  </si>
  <si>
    <t>Мировой опыт анализа и прогноза тех-эконом.и науч..: Моногр. / С.В.Горбачев - М.:НИЦ ИНФРА-М,2024 - 121с.(О)</t>
  </si>
  <si>
    <t>МИРОВОЙ ОПЫТ АНАЛИЗА И ПРОГНОЗА ТЕХНИКО-ЭКОНОМИЧЕСКОГО И НАУЧНО-ТЕХНОЛОГИЧЕСКОГО РАЗВИТИЯ ГОСУДАРСТВА</t>
  </si>
  <si>
    <t>Горбачев С.В.</t>
  </si>
  <si>
    <t>978-5-16-013010-1</t>
  </si>
  <si>
    <t>733607.05.01</t>
  </si>
  <si>
    <t>Миф о Наполеоне в рус. клас. XIX в. (А.С. Пушкин...): Моногр. / И.В.Артамонова-М.:НИЦ ИНФРА-М,2025.-170 с.(О)</t>
  </si>
  <si>
    <t>МИФ О НАПОЛЕОНЕ В РУССКОЙ КЛАССИКЕ XIX ВЕКА (А.С. ПУШКИН, М.Ю. ЛЕРМОНТОВ, Н.В. ГОГОЛЬ)</t>
  </si>
  <si>
    <t>Артамонова И.В.</t>
  </si>
  <si>
    <t>978-5-16-016107-5</t>
  </si>
  <si>
    <t>44.04.01, 44.06.01, 45.04.01, 45.06.01</t>
  </si>
  <si>
    <t>320900.06.01</t>
  </si>
  <si>
    <t>Мифологизация политической и правовой жизни: Моногр./Е.А.Лукашева - М.: Норма: ИНФРА-М,2023-272с.(п)</t>
  </si>
  <si>
    <t>МИФОЛОГИЗАЦИЯ ПОЛИТИЧЕСКОЙ И ПРАВОВОЙ ЖИЗНИ</t>
  </si>
  <si>
    <t>Лукашева Е.А.</t>
  </si>
  <si>
    <t>978-5-91768-567-0</t>
  </si>
  <si>
    <t>435400.06.01</t>
  </si>
  <si>
    <t>Мифология, философия и немножко теории систем: Моногр. / Л.А.Петрушенко-М.:НИЦ ИНФРА-М,2024.-118с(О)</t>
  </si>
  <si>
    <t>МИФОЛОГИЯ, ФИЛОСОФИЯ И НЕМНОЖКО ТЕОРИИ СИСТЕМ</t>
  </si>
  <si>
    <t>Петрушенко Л.А.</t>
  </si>
  <si>
    <t>978-5-16-011318-0</t>
  </si>
  <si>
    <t>01.04.01, 02.04.01, 09.03.03, 09.04.04, 10.04.01, 27.04.03, 38.04.05, 40.03.01, 41.03.04, 41.03.05, 41.04.04, 44.03.01, 44.03.05, 46.03.01, 47.03.01, 51.03.02</t>
  </si>
  <si>
    <t>232100.08.01</t>
  </si>
  <si>
    <t>Михаил Пришвин и Василий Розанов: мировоззрен..: Моногр./А.М.Подоксенов-М.:РИОР:ИНФРА-М,2023-298с(О)</t>
  </si>
  <si>
    <t>МИХАИЛ ПРИШВИН И ВАСИЛИЙ РОЗАНОВ: МИРОВОЗЗРЕНЧЕСКИЕ КОНТЕКСТЫ ТВОРЧЕСКОГО ДИАЛОГА</t>
  </si>
  <si>
    <t>Подоксенов А.М.</t>
  </si>
  <si>
    <t>978-5-369-01272-7</t>
  </si>
  <si>
    <t>42.03.02, 44.03.05, 45.03.01, 47.03.01, 47.04.01, 51.03.01, 51.04.01</t>
  </si>
  <si>
    <t>751092.07.01</t>
  </si>
  <si>
    <t>Михаил Пришвин и рус. культура ХIХ-ХХ в.: Моногр. / А.М.Подоксенов - М.:НИЦ ИНФРА-М,2026 - 324 с.(Науч.мысль)(О)</t>
  </si>
  <si>
    <t>МИХАИЛ ПРИШВИН И РУССКАЯ КУЛЬТУРА ХIХ-ХХ ВЕКОВ: ДИАЛОГИ С ЭПОХОЙ</t>
  </si>
  <si>
    <t>978-5-16-016854-8</t>
  </si>
  <si>
    <t>00.03.05, 00.03.09, 00.05.05, 00.05.09, 44.04.01, 44.06.01, 45.03.01, 45.04.01, 45.06.01, 51.04.01, 51.06.01</t>
  </si>
  <si>
    <t>756453.01.01</t>
  </si>
  <si>
    <t>Мнимая конкуренция: проблемы и пути их решения: Моногр.- М.:Юр.Норма, НИЦ ИНФРА-М,2021.-112 с.(О)</t>
  </si>
  <si>
    <t>МНИМАЯ КОНКУРЕНЦИЯ: ПРОБЛЕМЫ И ПУТИ ИХ РЕШЕНИЯ</t>
  </si>
  <si>
    <t>978-5-00156-168-2</t>
  </si>
  <si>
    <t>652126.07.01</t>
  </si>
  <si>
    <t>Многодиапазонные антенны на основе...: Моногр. / А.А.Савочкин - М.:Вуз.уч., НИЦ ИНФРА-М,2023 - 125 с.(О)</t>
  </si>
  <si>
    <t>МНОГОДИАПАЗОННЫЕ АНТЕННЫ НА ОСНОВЕ ФРАКТАЛЬНЫХ СТРУКТУР</t>
  </si>
  <si>
    <t>Савочкин А.А., Нудьга А.А.</t>
  </si>
  <si>
    <t>978-5-9558-0550-4</t>
  </si>
  <si>
    <t>11.03.01, 11.04.01, 11.04.02</t>
  </si>
  <si>
    <t>668819.03.01</t>
  </si>
  <si>
    <t>Многоцелевая оптимизация и автомат.проект. упр..: Моногр./В.И.Пантелеев-М.:НИЦ ИНФРА-М, СФУ,2023-194с</t>
  </si>
  <si>
    <t>МНОГОЦЕЛЕВАЯ ОПТИМИЗАЦИЯ И АВТОМАТИЗИРОВАННОЕ ПРОЕКТИРОВАНИЕ УПРАВЛЕНИЯ КАЧЕСТВОМ ЭЛЕКТРОСНАБЖЕНИЯ В ЭЛЕКТРОЭНЕРГЕТИЧЕСКИХ СИСТЕМАХ</t>
  </si>
  <si>
    <t>Пантелеев В.И., Поддубных Л.Ф.</t>
  </si>
  <si>
    <t>978-5-16-013321-8</t>
  </si>
  <si>
    <t>13.04.02, 13.06.01</t>
  </si>
  <si>
    <t>668586.03.01</t>
  </si>
  <si>
    <t>Многоэтапный анализ архитект. надеж.и синтез..: Моногр. / А.С.Кузнецов-М.:НИЦ ИНФРА-М, СФУ,2024-143с(о)</t>
  </si>
  <si>
    <t>МНОГОЭТАПНЫЙ АНАЛИЗ АРХИТЕКТУРНОЙ НАДЕЖНОСТИ И СИНТЕЗ ОТКАЗОУСТОЙЧИВОГО ПРОГРАММНОГО ОБЕСПЕЧЕНИЯ СЛОЖНЫХ СИСТЕМ</t>
  </si>
  <si>
    <t>Кузнецов А.С., Ченцов С.В., Царев Р.Ю.</t>
  </si>
  <si>
    <t>978-5-16-018977-2</t>
  </si>
  <si>
    <t>09.04.01, 09.04.02, 09.06.01</t>
  </si>
  <si>
    <t>682535.08.01</t>
  </si>
  <si>
    <t>Модели и показатели техносфер. безопас.: Моногр. / Ю.В.Есипов.-М.:НИЦ ИНФРА-М,2023.-154 с.(Науч.мысль)(О)</t>
  </si>
  <si>
    <t>МОДЕЛИ И ПОКАЗАТЕЛИ ТЕХНОСФЕРНОЙ БЕЗОПАСНОСТИ</t>
  </si>
  <si>
    <t>Есипов Ю.В., Мишенькина Ю.С., Черемисин А.И.</t>
  </si>
  <si>
    <t>978-5-16-013822-0</t>
  </si>
  <si>
    <t>20.03.01, 20.04.01, 20.05.01</t>
  </si>
  <si>
    <t>126720.05.01</t>
  </si>
  <si>
    <t>Модели и проблемы интеллектуал. систем: Моногр. / Б.Е.Одинцов - М.:НИЦ ИНФРА-М,2025 - 219 с.(Науч.мысль )(О)</t>
  </si>
  <si>
    <t>МОДЕЛИ И ПРОБЛЕМЫ ИНТЕЛЛЕКТУАЛЬНЫХ СИСТЕМ</t>
  </si>
  <si>
    <t>Одинцов Б.Е.</t>
  </si>
  <si>
    <t>978-5-16-015839-6</t>
  </si>
  <si>
    <t>02.06.01, 09.06.01</t>
  </si>
  <si>
    <t>668584.03.01</t>
  </si>
  <si>
    <t>Модели оптимального упр. и операц.исчисл..: Моногр. / П.Н.Победаш -М.:НИЦ ИНФРА-М, СФУ,2023-259с.(П)</t>
  </si>
  <si>
    <t>МОДЕЛИ ОПТИМАЛЬНОГО УПРАВЛЕНИЯ И ОПЕРАЦИОННОГО ИСЧИСЛЕНИЯ ДЛЯ МНОГОКРИТЕРИАЛЬНОГО АНАЛИЗА ЭКОНОМИЧЕСКИХ СИСТЕМ</t>
  </si>
  <si>
    <t>Победаш П.Н., Семенкин Е.С.</t>
  </si>
  <si>
    <t>978-5-16-013304-1</t>
  </si>
  <si>
    <t>688741.07.01</t>
  </si>
  <si>
    <t>Модели поведения бетона. Общая теория деград.: Моногр. / А.А.Варламов - М.:НИЦ ИНФРА-М,2022-436с(П)</t>
  </si>
  <si>
    <t>МОДЕЛИ ПОВЕДЕНИЯ БЕТОНА. ОБЩАЯ ТЕОРИЯ ДЕГРАДАЦИИ</t>
  </si>
  <si>
    <t>Варламов А.А., Римшин В.И.</t>
  </si>
  <si>
    <t>978-5-16-014615-7</t>
  </si>
  <si>
    <t>08.03.01, 08.04.01, 08.05.01, 08.05.02</t>
  </si>
  <si>
    <t>Рекомендовано научно-исследовательским институтом строительной физики Российской академии архитектуры и строительных наук для студентов инженерно-строительных факультетов, получающих образование по направлению подготовки 08.03.01 «Строительство»</t>
  </si>
  <si>
    <t>Магнитогорский государственный технический университет им. Г.И. Носова</t>
  </si>
  <si>
    <t>688741.10.01</t>
  </si>
  <si>
    <t>Модели поведения бетона. Общая теория деградации: Моногр. / В.И.Римшин -2 изд.-М.:НИЦ ИНФРА-М,2023-439с.(П)</t>
  </si>
  <si>
    <t>МОДЕЛИ ПОВЕДЕНИЯ БЕТОНА. ОБЩАЯ ТЕОРИЯ ДЕГРАДАЦИИ, ИЗД.2</t>
  </si>
  <si>
    <t>Римшин В.И., Варламов А.А.</t>
  </si>
  <si>
    <t>978-5-16-017441-9</t>
  </si>
  <si>
    <t>673972.04.01</t>
  </si>
  <si>
    <t>Модели правоотнош. по усынов.:срав.характ.закон. РФ:Моногр./Е.А.Татаринцева-М.:НИЦ ИНФРА-М,2023-258с</t>
  </si>
  <si>
    <t>МОДЕЛИ ПРАВООТНОШЕНИЙ ПО УСЫНОВЛЕНИЮ: СРАВНИТЕЛЬНАЯ ХАРАКТЕРИСТИКА ЗАКОНОДАТЕЛЬСТВА РОССИЙСКОЙ ФЕДЕРАЦИИ И СОЕДИНЕННЫХ ШТАТОВ АМЕРИКИ</t>
  </si>
  <si>
    <t>Татаринцева Е.А.</t>
  </si>
  <si>
    <t>978-5-16-013610-3</t>
  </si>
  <si>
    <t>Светлоградский многопрофильный колледж</t>
  </si>
  <si>
    <t>818468.01.01</t>
  </si>
  <si>
    <t>Модели флотации и гидродинам. режимы работы комбинир..: Моногр. / Б.С.Ксенофонтов-М.:НИЦ ИНФРА-М,2024-241 с.(п)</t>
  </si>
  <si>
    <t>МОДЕЛИ ФЛОТАЦИИ И ГИДРОДИНАМИЧЕСКИЕ РЕЖИМЫ РАБОТЫ КОМБИНИРОВАННОЙ ФЛОТАЦИОННОЙ ТЕХНИКИ</t>
  </si>
  <si>
    <t>978-5-16-019493-6</t>
  </si>
  <si>
    <t>20.03.01, 20.03.02, 20.04.01, 20.04.02, 20.06.01</t>
  </si>
  <si>
    <t>771138.01.01</t>
  </si>
  <si>
    <t>Моделирование аварийности на маршрутном транспорте: Моногр. / А.М.Башкатов-М.:НИЦ ИНФРА-М,2022.-265 с.(О)</t>
  </si>
  <si>
    <t>МОДЕЛИРОВАНИЕ АВАРИЙНОСТИ НА МАРШРУТНОМ ТРАНСПОРТЕ</t>
  </si>
  <si>
    <t>Башкатов А.М.</t>
  </si>
  <si>
    <t>978-5-16-017532-4</t>
  </si>
  <si>
    <t>23.03.01, 23.03.03, 23.04.01, 23.04.03, 23.06.01</t>
  </si>
  <si>
    <t>Приднестровский Государственный университет им. Т. Г. Шевченко</t>
  </si>
  <si>
    <t>682736.01.01</t>
  </si>
  <si>
    <t>Моделирование геометрических форм автомобильных дорог:Монография / Н.А.Сальков-М.:НИЦ ИНФРА-М,2019.-162 с..-(Науч.мысль)(О. КБС)</t>
  </si>
  <si>
    <t>МОДЕЛИРОВАНИЕ ГЕОМЕТРИЧЕСКИХ ФОРМ АВТОМОБИЛЬНЫХ ДОРОГ</t>
  </si>
  <si>
    <t>978-5-16-014029-2</t>
  </si>
  <si>
    <t>08.05.03, 23.04.01</t>
  </si>
  <si>
    <t>776627.01.01</t>
  </si>
  <si>
    <t>Моделирование гидродинамики и тепломассообмена...: Моногр. / М.И.Шиляев.-М.:НИЦ ИНФРА-М,2022.-249 с.(О)</t>
  </si>
  <si>
    <t>МОДЕЛИРОВАНИЕ ГИДРОДИНАМИКИ И ТЕПЛОМАССООБМЕНА В ДИСПЕРСНЫХ СРЕДАХ</t>
  </si>
  <si>
    <t>Шиляев М.И., Хромова Е.М., Богомолов А.Р.</t>
  </si>
  <si>
    <t>978-5-16-017655-0</t>
  </si>
  <si>
    <t>01.03.03, 01.04.03, 01.06.01, 13.04.01, 20.04.01</t>
  </si>
  <si>
    <t>670747.03.01</t>
  </si>
  <si>
    <t>Моделирование динамических процессов методом...:Моногр./ В.В.Осипов-М.:НИЦ ИНФРА-М, СФУ,2024.-304 с.(Науч.мысль (СФУ))(П)</t>
  </si>
  <si>
    <t>МОДЕЛИРОВАНИЕ ДИНАМИЧЕСКИХ ПРОЦЕССОВ МЕТОДОМ ТОЧЕЧНЫХ ПРЕДСТАВЛЕНИЙ</t>
  </si>
  <si>
    <t>Осипов В.В.</t>
  </si>
  <si>
    <t>978-5-16-013417-8</t>
  </si>
  <si>
    <t>01.04.01, 01.04.02, 01.06.01</t>
  </si>
  <si>
    <t>823070.01.01</t>
  </si>
  <si>
    <t>Моделирование изделий и процессов в CAAP-системах: Моногр. / А.Н.Божко-М.:НИЦ ИНФРА-М,2025.-408 с.(п)</t>
  </si>
  <si>
    <t>МОДЕЛИРОВАНИЕ ИЗДЕЛИЙ И ПРОЦЕССОВ В CAAP-СИСТЕМАХ</t>
  </si>
  <si>
    <t>Божко А.Н.</t>
  </si>
  <si>
    <t>978-5-16-019790-6</t>
  </si>
  <si>
    <t>15.04.01, 15.04.05, 15.05.01, 15.06.01</t>
  </si>
  <si>
    <t>735799.01.01</t>
  </si>
  <si>
    <t>Моделирование инновац. производств. развит. нефтегаз. регионов / И.Л.Беилин-М.:НИЦ ИНФРА-М,2021.-243 с.(О)</t>
  </si>
  <si>
    <t>МОДЕЛИРОВАНИЕ ИННОВАЦИОННОГО ПРОИЗВОДСТВЕННОГО РАЗВИТИЯ НЕФТЕГАЗОВЫХ РЕГИОНОВ</t>
  </si>
  <si>
    <t>Беилин И.Л.</t>
  </si>
  <si>
    <t>978-5-16-016254-6</t>
  </si>
  <si>
    <t>27.03.04, 27.03.05, 27.04.05, 27.04.07, 27.06.01, 38.03.01, 38.03.02, 38.04.01, 38.04.02, 38.06.01</t>
  </si>
  <si>
    <t>837349.01.01</t>
  </si>
  <si>
    <t>Моделирование линейчатых поверхностей: Моногр. / Н.А.Сальков - М.:НИЦ ИНФРА-М,2026. - 197 с.(Науч.мысль)(о)</t>
  </si>
  <si>
    <t>МОДЕЛИРОВАНИЕ ЛИНЕЙЧАТЫХ ПОВЕРХНОСТЕЙ</t>
  </si>
  <si>
    <t>978-5-16-020938-8</t>
  </si>
  <si>
    <t>15.04.03, 15.04.05, 15.05.01, 15.06.01</t>
  </si>
  <si>
    <t>664379.04.01</t>
  </si>
  <si>
    <t>Моделирование процес.принятия реш. в рамках взаимодействия..../ Д.С.Оверчку.-М.:ИНФРА-М,2023-126с(О)</t>
  </si>
  <si>
    <t>МОДЕЛИРОВАНИЕ ПРОЦЕССОВ ПРИНЯТИЯ РЕШЕНИЙ В РАМКАХ ВЗАИМОДЕЙСТВИЯ ЭКОНОМИЧЕСКИХ АГЕНТОВ ПРИ РЕАЛИЗАЦИИ ОБЩЕСТВЕННО ЗНАЧИМЫХ ИНФРАСТРУКТУРНЫХ ПРОЕКТОВ</t>
  </si>
  <si>
    <t>Оверчук Д.С.</t>
  </si>
  <si>
    <t>978-5-16-014832-8</t>
  </si>
  <si>
    <t>38.03.02, 38.04.01, 38.04.02</t>
  </si>
  <si>
    <t>124900.12.01</t>
  </si>
  <si>
    <t>Моделирование стоимости компании...: Моногр. / И.В.Ивашковская - М.:НИЦ ИНФРА-М,2024-430с.(Науч.мысль)</t>
  </si>
  <si>
    <t>МОДЕЛИРОВАНИЕ СТОИМОСТИ КОМПАНИИ. СТРАТЕГИЧЕСКАЯ ОТВЕТСТВЕННОСТЬ СОВЕТА ДИРЕКТОРОВ</t>
  </si>
  <si>
    <t>Ивашковская И.В.</t>
  </si>
  <si>
    <t>978-5-16-004090-5</t>
  </si>
  <si>
    <t>38.03.01, 38.03.02, 38.03.05, 38.04.01, 38.04.02, 38.04.05, 38.06.01, 44.03.05</t>
  </si>
  <si>
    <t>798965.01.01</t>
  </si>
  <si>
    <t>Моделирование тепл. состояния и расчет на заедание.../Заренбин В.Г -М.:ИНФРА-М,2024.-222, [8] с.:цв.ил(о)</t>
  </si>
  <si>
    <t>МОДЕЛИРОВАНИЕ ТЕПЛОВОГО СОСТОЯНИЯ И РАСЧЕТ НА ЗАЕДАНИЕ ПАР ТРЕНИЯ БАЗОВЫХ ТЕПЛОНАПРЯЖЕННЫХ ДЕТАЛЕЙ ПОРШНЕВЫХ ДВИГАТЕЛЕЙ</t>
  </si>
  <si>
    <t>Заренбин В.Г., Чайнов Н.Д., Руссинковский С.Ю. и др.</t>
  </si>
  <si>
    <t>978-5-16-019033-4</t>
  </si>
  <si>
    <t>13.04.03, 15.04.01, 15.05.01, 15.06.01</t>
  </si>
  <si>
    <t>478150.06.01</t>
  </si>
  <si>
    <t>Моделирование управ. решений в сфере экон. в усл. неопределен.: моногр. / И.И.Белолипцев и др. - М.:НИЦ ИНФРА-М,2025. - 299 с.-(Науч.мысль)(п)</t>
  </si>
  <si>
    <t>МОДЕЛИРОВАНИЕ УПРАВЛЕНЧЕСКИХ РЕШЕНИЙ В СФЕРЕ ЭКОНОМИКИ В УСЛОВИЯХ НЕОПРЕДЕЛЕННОСТИ</t>
  </si>
  <si>
    <t>Белолипцев И.И., Горбатков С.А., Романов А.Н. и др.</t>
  </si>
  <si>
    <t>978-5-16-010269-6</t>
  </si>
  <si>
    <t>38.03.01, 38.03.02, 38.03.04, 38.04.01, 38.04.02, 38.04.04, 38.06.01, 40.03.01</t>
  </si>
  <si>
    <t>Финансовый университет при Правительстве Российской Федерации, Уфимский ф-л</t>
  </si>
  <si>
    <t>639993.03.01</t>
  </si>
  <si>
    <t>Моделирование штормов. наводнен. в..: Моногр. / О.Е.Любимова-М.:НИЦ ИНФРА-М,2023-185с(Науч.мысль)(о)</t>
  </si>
  <si>
    <t>МОДЕЛИРОВАНИЕ ШТОРМОВЫХ НАВОДНЕНИЙ В УСТЬЕВЫХ ОБЛАСТЯХ БАЛТИЙСКИХ РЕК</t>
  </si>
  <si>
    <t>Любимова О.Е., Кочуров Б.И.</t>
  </si>
  <si>
    <t>978-5-16-018617-7</t>
  </si>
  <si>
    <t>05.03.04, 05.03.06</t>
  </si>
  <si>
    <t>Балтийский федеральный университет им. Иммануила Канта</t>
  </si>
  <si>
    <t>775402.01.01</t>
  </si>
  <si>
    <t>Модель оценки влияния туризма и индустрии гостеприимства.../ А.В.Аверин.-М.:НИЦ ИНФРА-М,2023.-196 с.(О)</t>
  </si>
  <si>
    <t>МОДЕЛЬ ОЦЕНКИ ВЛИЯНИЯ ТУРИЗМА И ИНДУСТРИИ ГОСТЕПРИИМСТВА НА ЭКОНОМИКУ РОССИИ</t>
  </si>
  <si>
    <t>Аверин А.В., Алексеев А.Н., Брагина Е.В. и др.</t>
  </si>
  <si>
    <t>978-5-16-017728-1</t>
  </si>
  <si>
    <t>38.04.01, 38.04.02, 38.06.01, 43.04.02</t>
  </si>
  <si>
    <t>699383.03.01</t>
  </si>
  <si>
    <t>Модернизация административного законодательства: Моногр. / А.М.Абакирова-М.:НИЦ ИНФРА-М,2020-496с(П)</t>
  </si>
  <si>
    <t>МОДЕРНИЗАЦИЯ АДМИНИСТРАТИВНОГО ЗАКОНОДАТЕЛЬСТВА (ЦЕЛИ,ЗАДАЧИ, ПРИНЦИПЫ И АКТУАЛЬНЫЕ НАПРАВЛЕНИЯ)</t>
  </si>
  <si>
    <t>Абакирова А.М., Абдыраев М.А., Василевич Г.А. и др.</t>
  </si>
  <si>
    <t>978-5-16-014691-1</t>
  </si>
  <si>
    <t>38.03.04, 40.03.01, 40.04.01, 40.05.01, 40.05.02, 44.03.05, 46.03.02</t>
  </si>
  <si>
    <t>725316.06.01</t>
  </si>
  <si>
    <t>Модернизация Советской России в 1920-1930-е г... / И.А.Анфертьев - М.:ИНФРА-М,2026 - 593 с.(П)</t>
  </si>
  <si>
    <t>МОДЕРНИЗАЦИЯ СОВЕТСКОЙ РОССИИ В 1920-1930-Е ГОДЫ: ПРОГРАММЫ ПРЕОБРАЗОВАНИЙ РКП(Б) — ВКП(Б) КАК ИНСТРУМЕНТЫ БОРЬБЫ ЗА ВЛАСТЬ</t>
  </si>
  <si>
    <t>Анфертьев И.А.</t>
  </si>
  <si>
    <t>978-5-16-015876-1</t>
  </si>
  <si>
    <t>645298.04.01</t>
  </si>
  <si>
    <t>Модернизация экономики России: Моногр. / В.П.Орешин-М.:ИЦ РИОР, НИЦ ИНФРА-М,2022.-244 с.(Науч.мысль)(о)</t>
  </si>
  <si>
    <t>МОДЕРНИЗАЦИЯ ЭКОНОМИКИ РОССИИ</t>
  </si>
  <si>
    <t>Орешин В.П.</t>
  </si>
  <si>
    <t>978-5-369-01654-1</t>
  </si>
  <si>
    <t>38.03.04, 38.04.01, 38.04.04, 38.04.09, 41.03.05</t>
  </si>
  <si>
    <t>675414.08.01</t>
  </si>
  <si>
    <t>Модное право: Моногр. / Н.А.Шебанова - М.:Юр.Норма, НИЦ ИНФРА-М,2025 - 176 с.(П)</t>
  </si>
  <si>
    <t>МОДНОЕ ПРАВО</t>
  </si>
  <si>
    <t>Шебанова Н.А.</t>
  </si>
  <si>
    <t>978-5-91768-892-3</t>
  </si>
  <si>
    <t>703614.04.01</t>
  </si>
  <si>
    <t>Молекулярная механика биополимеров: Моногр. / В.В.Костюков - М.:НИЦ ИНФРА-М,2025. - 140 с.(Науч.мысль)(о)</t>
  </si>
  <si>
    <t>МОЛЕКУЛЯРНАЯ МЕХАНИКА БИОПОЛИМЕРОВ</t>
  </si>
  <si>
    <t>Костюков В.В.</t>
  </si>
  <si>
    <t>978-5-16-014913-4</t>
  </si>
  <si>
    <t>06.03.01, 06.04.01, 06.05.01, 06.06.01, 12.03.04, 12.04.04, 12.06.01</t>
  </si>
  <si>
    <t>725101.07.01</t>
  </si>
  <si>
    <t>Молодая семья в совр. рос...: Моногр. / П.В.Разов - М.:НИЦ ИНФРА-М,2026 - 210 с.(О)</t>
  </si>
  <si>
    <t>МОЛОДАЯ СЕМЬЯ В СОВРЕМЕННОМ РОССИЙСКОМ СОЦИУМЕ: ОБРАЗ И КАЧЕСТВО ЖИЗНИ</t>
  </si>
  <si>
    <t>Разов П.В., Преснякова-Осипова И.В., Юшкова С.А.</t>
  </si>
  <si>
    <t>978-5-16-015899-0</t>
  </si>
  <si>
    <t>39.03.01, 39.03.03, 39.04.01, 39.04.03, 39.06.01</t>
  </si>
  <si>
    <t>412350.09.01</t>
  </si>
  <si>
    <t>Монастырская просвет. культура России: Моногр. / Н.Е.Шафажинская - М.:НИЦ ИНФРА-М,2026  - 232 с.(О)</t>
  </si>
  <si>
    <t>МОНАСТЫРСКАЯ ПРОСВЕТИТЕЛЬСКАЯ КУЛЬТУРА РОССИИ</t>
  </si>
  <si>
    <t>Шафажинская Н.Е.</t>
  </si>
  <si>
    <t>978-5-16-006462-8</t>
  </si>
  <si>
    <t>44.03.05, 46.03.01, 46.04.01, 46.06.01, 47.03.03, 47.04.03, 47.06.01</t>
  </si>
  <si>
    <t>258500.10.01</t>
  </si>
  <si>
    <t>Монеты и банкноты от античности до наших дней / Н.А. Разманова - М.:Вуз.. уч.: ИНФРА-М, 2025-216с. (п)</t>
  </si>
  <si>
    <t>МОНЕТЫ И БАНКНОТЫ ОТ АНТИЧНОСТИ ДО НАШИХ ДНЕЙ: ПРОИСХОЖДЕНИЕ И ЭВОЛЮЦИЯ</t>
  </si>
  <si>
    <t>Разманова Н. А., Лаптева Е. В., Нестеренко Е. И., Муравьева Л. А.</t>
  </si>
  <si>
    <t>978-5-9558-0357-9</t>
  </si>
  <si>
    <t>38.03.01, 38.04.08, 41.03.01, 41.03.05, 41.03.06, 41.04.01, 41.04.05, 44.03.05, 46.03.01, 46.04.01, 51.03.01, 51.04.01</t>
  </si>
  <si>
    <t>715711.04.01</t>
  </si>
  <si>
    <t>Мониторинг возводимых и эксплуатируемых зданий: Моногр./С.Н.Леонович -М.:НИЦ ИНФРА-М,2024-286с.(О)</t>
  </si>
  <si>
    <t>МОНИТОРИНГ ВОЗВОДИМЫХ И ЭКСПЛУАТИРУЕМЫХ ЗДАНИЙ</t>
  </si>
  <si>
    <t>Леонович С.Н., Снежков Д.Ю., Доркин В.В.</t>
  </si>
  <si>
    <t>978-5-16-015529-6</t>
  </si>
  <si>
    <t>08.03.01, 08.04.01</t>
  </si>
  <si>
    <t>689994.02.01</t>
  </si>
  <si>
    <t>Мониторинг и прогнозирование соц.-эконом. развития..: Моногр./ М.Л.Казарян-М.:НИЦ ИНФРА-М,2023-256с.</t>
  </si>
  <si>
    <t>МОНИТОРИНГ И ПРОГНОЗИРОВАНИЕ СОЦИАЛЬНО-ЭКОНОМИЧЕСКОГО РАЗВИТИЯ РЕГИОНОВ НА ОСНОВЕ АНАЛИЗА КОСМИЧЕСКИХ СНИМКОВ (НА ПРИМЕРЕ ОБЪЕКТОВ ЗАХОРОНЕНИЯ ТВЕРДЫХ БЫТОВЫХ ОТХОДОВ И ИХ ВЛИЯНИЕ НА ОКРУЖАЮЩУЮ СРЕДУ)</t>
  </si>
  <si>
    <t>978-5-16-014549-5</t>
  </si>
  <si>
    <t>417450.10.01</t>
  </si>
  <si>
    <t>Мониторинг качества образов. процесса в школе: Моногр. / С.Е.Шишов - М.: ИНФРА-М, 2023 - 205 с. (о)</t>
  </si>
  <si>
    <t>МОНИТОРИНГ КАЧЕСТВА ОБРАЗОВАТЕЛЬНОГО ПРОЦЕССА В ШКОЛЕ</t>
  </si>
  <si>
    <t>Шишов С. Е., Кальней В. А., Гирба Е. Ю.</t>
  </si>
  <si>
    <t>978-5-16-006507-6</t>
  </si>
  <si>
    <t>810093.01.01</t>
  </si>
  <si>
    <t>Мониторинг теневого денежного потока в оценке...: Моногр. / Е.В.Батурина - М.:НИЦ ИНФРА-М,2025. - 188 с.(О)</t>
  </si>
  <si>
    <t>МОНИТОРИНГ ТЕНЕВОГО ДЕНЕЖНОГО ПОТОКА В ОЦЕНКЕ СОСТОЯНИЯ ЭКОНОМИЧЕСКОЙ БЕЗОПАСНОСТИ</t>
  </si>
  <si>
    <t>Батурина Е.В.</t>
  </si>
  <si>
    <t>978-5-16-019649-7</t>
  </si>
  <si>
    <t>10.05.04, 38.03.01, 38.04.01, 38.05.01, 38.05.02, 38.06.01, 40.05.01</t>
  </si>
  <si>
    <t>303700.06.01</t>
  </si>
  <si>
    <t>Мониторинг техн. сост. и продл. жизн. цик..: Моногр. / С.Г.Белогай - М:ИЦ РИОР,НИЦ ИНФРА-М,2026 - 268 с.(О)</t>
  </si>
  <si>
    <t>МОНИТОРИНГ ТЕХНИЧЕСКОГО СОСТОЯНИЯ И ПРОДЛЕНИЕ ЖИЗНЕННОГО ЦИКЛА МОСТОВЫХ ПЕРЕЕЗДОВ НА КАНАЛАХ</t>
  </si>
  <si>
    <t>Белогай С.Г., Волосухин В.А., Бандурин М.А.</t>
  </si>
  <si>
    <t>978-5-369-01381-6</t>
  </si>
  <si>
    <t>08.03.01, 08.04.01, 08.05.03, 08.06.01</t>
  </si>
  <si>
    <t>806511.01.01</t>
  </si>
  <si>
    <t>Мониторинг устойчивого развития лесных экосистем.../ Под ред. Кочурова Б.И.-М.:НИЦ ИНФРА-М,2024-547с(п)</t>
  </si>
  <si>
    <t>МОНИТОРИНГ УСТОЙЧИВОГО РАЗВИТИЯ ЛЕСНЫХ ЭКОСИСТЕМ В МЕНЯЮЩЕМСЯ КЛИМАТЕ</t>
  </si>
  <si>
    <t>Коломыц Э.Г., Кочуров Б.И.</t>
  </si>
  <si>
    <t>978-5-16-018778-5</t>
  </si>
  <si>
    <t>05.03.02, 35.03.01, 35.04.01</t>
  </si>
  <si>
    <t>Пущинский научный центр биологических исследований Российской Академии Наук</t>
  </si>
  <si>
    <t>665251.06.01</t>
  </si>
  <si>
    <t>Монополизация как фактор криз. проц. и трансформ. совр..: Моногр. / О.О.Комолов - М:НИЦ ИНФРА-М,2025 - 138 с.(о)</t>
  </si>
  <si>
    <t>МОНОПОЛИЗАЦИЯ КАК ФАКТОР КРИЗИСНЫХ ПРОЦЕССОВ И ТРАНСФОРМАЦИИ СОВРЕМЕННОЙ РЫНОЧНОЙ ЭКОНОМИКИ</t>
  </si>
  <si>
    <t>Комолов О.О.</t>
  </si>
  <si>
    <t>978-5-16-013676-9</t>
  </si>
  <si>
    <t>758769.01.01</t>
  </si>
  <si>
    <t>Монтаж, техн. обслуж. и ремонт электроустановок предпр.../ Ю.Д.Сибикин - М.:НИЦ ИНФРА-М,2025. - 311 с.(ВО)(п)</t>
  </si>
  <si>
    <t>МОНТАЖ, ТЕХНИЧЕСКОЕ ОБСЛУЖИВАНИЕ И РЕМОНТ ЭЛЕКТРОУСТАНОВОК ПРЕДПРИЯТИЙ НЕФТЯНОЙ ПРОМЫШЛЕННОСТИ</t>
  </si>
  <si>
    <t>Сибикин Ю.Д., Яшков В.А.</t>
  </si>
  <si>
    <t>978-5-16-017289-7</t>
  </si>
  <si>
    <t>00.03.31</t>
  </si>
  <si>
    <t>791671.01.01</t>
  </si>
  <si>
    <t>Морская доктрина РФ: Сб. док.- М.:НИЦ ИНФРА-М,2023.-53 с.(О)</t>
  </si>
  <si>
    <t>МОРСКАЯ ДОКТРИНА РОССИЙСКОЙ ФЕДЕРАЦИИ</t>
  </si>
  <si>
    <t>978-5-16-018005-2</t>
  </si>
  <si>
    <t>56.04.01</t>
  </si>
  <si>
    <t>707961.06.01</t>
  </si>
  <si>
    <t>Морская практика: Курс лекций / М.В.Наумов - М.:НИЦ ИНФРА-М,2024 - 328 с.(Военное обр.)(п)</t>
  </si>
  <si>
    <t>МОРСКАЯ ПРАКТИКА</t>
  </si>
  <si>
    <t>Наумов М.В., Володин В.Н.</t>
  </si>
  <si>
    <t>Военное образование (ЧВВМУ им. Нахимова)</t>
  </si>
  <si>
    <t>978-5-16-015336-0</t>
  </si>
  <si>
    <t>26.02.03, 26.05.04, 26.05.05, 26.05.06, 26.05.07</t>
  </si>
  <si>
    <t>ЧЕРНОМОРСКОЕ ВЫСШЕЕ ВОЕННО-МОРСКОЕ ОРДЕНОВ НАХИМОВА и КРАСНОЙ ЗВЕЗДЫ УЧИЛИЩЕ ИМЕНИ П.С.НАХИМОВА Министерство обороны Российской Федерации</t>
  </si>
  <si>
    <t>714481.04.01</t>
  </si>
  <si>
    <t>Московский мегаполис: совр. внешнеэкономич. деят. / Л.Г.Гогиберидзе - М.:НИЦ ИНФРА-М,2025. - 163 с.(О)</t>
  </si>
  <si>
    <t>МОСКОВСКИЙ МЕГАПОЛИС: СОВЕРШЕНСТВОВАНИЕ ВНЕШНЕЭКОНОМИЧЕСКОЙ ДЕЯТЕЛЬНОСТИ</t>
  </si>
  <si>
    <t>Гогиберидзе Л.Г.</t>
  </si>
  <si>
    <t>978-5-16-015798-6</t>
  </si>
  <si>
    <t>38.04.01, 38.04.02, 38.04.04, 38.04.06, 38.06.01</t>
  </si>
  <si>
    <t>640773.06.01</t>
  </si>
  <si>
    <t>Мотив преступления как генет. признак субъекта: Моногр. / Н.Г.Иванов - М.:НИЦ ИНФРА-М,2024 -108с.(О)</t>
  </si>
  <si>
    <t>МОТИВ ПРЕСТУПЛЕНИЯ КАК ГЕНЕТИЧЕСКИЙ ПРИЗНАК СУБЪЕКТА</t>
  </si>
  <si>
    <t>Иванов Н.Г.</t>
  </si>
  <si>
    <t>978-5-16-012721-7</t>
  </si>
  <si>
    <t>141950.12.01</t>
  </si>
  <si>
    <t>Мотивация - основа упр. человеч. ресурсами: Моногр. / А.Е. Боковня - М.:НИЦ ИНФРА-М,2025 -144 с.(О)</t>
  </si>
  <si>
    <t>МОТИВАЦИЯ - ОСНОВА УПРАВЛЕНИЯ ЧЕЛОВЕЧЕСКИМИ РЕСУРСАМИ (ТЕОРИЯ И ПРАКТИКА ФОРМИРОВАНИЯ МОТИВИРУЮЩЕЙ ОРГАНИЗАЦИОННОЙ СРЕДЫ И СОЗДАНИЯ ЕДИНОЙ СИСТЕМЫ МОТИВАЦИИ КОМПАНИИ)</t>
  </si>
  <si>
    <t>Боковня А.Е.</t>
  </si>
  <si>
    <t>978-5-16-004523-8</t>
  </si>
  <si>
    <t>38.03.01, 38.03.02, 38.03.03, 38.03.04, 38.04.01, 38.04.02, 38.04.03, 38.04.04, 38.06.01, 41.03.06, 41.06.01, 44.03.01</t>
  </si>
  <si>
    <t>807903.01.01</t>
  </si>
  <si>
    <t>Музыка и право в России XVIII-XX в. Ист. Док.: Моногр. / Л.Г.Свечникова-М.:НИЦ ИНФРА-М,2024.-162 с.(п)</t>
  </si>
  <si>
    <t>МУЗЫКА И ПРАВО В РОССИИ XVIII-XX ВЕКОВ. ИСТОРИЯ. ДОКУМЕНТЫ</t>
  </si>
  <si>
    <t>Свечникова Л.Г.</t>
  </si>
  <si>
    <t>978-5-16-018874-4</t>
  </si>
  <si>
    <t>Белгородский университет кооперации, экономики и права, ф-л Ставропольский кооперативный институт</t>
  </si>
  <si>
    <t>803179.05.01</t>
  </si>
  <si>
    <t>Музыка как элемент духовной культуры...: Моногр. / Л.П.Шиповская - М.:НИЦ ИНФРА-М,2026. - 195 с.(Науч.мысль)(о)</t>
  </si>
  <si>
    <t>МУЗЫКА КАК ЭЛЕМЕНТ ДУХОВНОЙ КУЛЬТУРЫ - МОЩНЫЙ ФАКТОР ИНТЕГРАЦИИ И УНИВЕРСАЛИЗАЦИИ ВСЕЙ ДУХОВНОЙ ЖИЗНИ ОБЩЕСТВА</t>
  </si>
  <si>
    <t>Шиповская Л.П.</t>
  </si>
  <si>
    <t>978-5-16-018740-2</t>
  </si>
  <si>
    <t>Музыка. Нотные издания</t>
  </si>
  <si>
    <t>53.04.06</t>
  </si>
  <si>
    <t>724893.03.01</t>
  </si>
  <si>
    <t>Музыкально-эстетическое воспитание: Моногр. / Г.Г.Коломиец - 2 изд. - М.:НИЦ ИНФРА-М,2026 - 240 с.(О)</t>
  </si>
  <si>
    <t>МУЗЫКАЛЬНО-ЭСТЕТИЧЕСКОЕ ВОСПИТАНИЕ (АКСИОЛОГИЧЕСКИЙ ПОДХОД), ИЗД.2</t>
  </si>
  <si>
    <t>Коломиец Г.Г.</t>
  </si>
  <si>
    <t>978-5-16-015884-6</t>
  </si>
  <si>
    <t>53.02.01, 53.02.02, 53.03.01, 53.03.02, 53.03.06, 53.04.01, 53.04.02, 53.04.03, 53.04.06, 53.05.04, 53.05.05, 53.09.01, 53.09.02</t>
  </si>
  <si>
    <t>Оренбургский государственный университет</t>
  </si>
  <si>
    <t>668583.02.01</t>
  </si>
  <si>
    <t>Мультиверсионное програм.обеспеч....: Моногр./ Р.Ю.Царев.-М.:НИЦ ИНФРА-М, СФУ,2023-117с(Науч.мысль)</t>
  </si>
  <si>
    <t>МУЛЬТИВЕРСИОННОЕ ПРОГРАММНОЕ ОБЕСПЕЧЕНИЕ. АЛГОРИТМЫ ГОЛОСОВАНИЯ И ОЦЕНКА НАДЁЖНОСТИ</t>
  </si>
  <si>
    <t>Царев Р.Ю., Штарик А.В., Штарик Е.Н.</t>
  </si>
  <si>
    <t>978-5-16-013283-9</t>
  </si>
  <si>
    <t>09.04.01, 09.04.02, 09.04.03, 09.04.04, 09.06.01</t>
  </si>
  <si>
    <t>704210.04.01</t>
  </si>
  <si>
    <t>Муниципальное управление в демократ. гос.: Моногр. / А.И.Черкасов - М.:Юр.Норма,НИЦ ИНФРА-М,2024-224с(П)</t>
  </si>
  <si>
    <t>МУНИЦИПАЛЬНОЕ УПРАВЛЕНИЕ В ДЕМОКРАТИЧЕСКИХ ГОСУДАРСТВАХ: ОРГАНИЗАЦИЯ И ПРОБЛЕМЫ ФУНКЦИОНИРОВНИЯ</t>
  </si>
  <si>
    <t>978-5-91768-611-0</t>
  </si>
  <si>
    <t>768772.02.01</t>
  </si>
  <si>
    <t>Навигационная концепция информац. моделир. мира: Моногр. / А.Н.Паранина - М.:НИЦ ИНФРА-М,2026. - 271 с.(п)</t>
  </si>
  <si>
    <t>НАВИГАЦИОННАЯ КОНЦЕПЦИЯ ИНФОРМАЦИОННОГО МОДЕЛИРОВАНИЯ МИРА</t>
  </si>
  <si>
    <t>Паранина А.Н.</t>
  </si>
  <si>
    <t>978-5-16-019877-4</t>
  </si>
  <si>
    <t>05.03.02</t>
  </si>
  <si>
    <t>435600.04.01</t>
  </si>
  <si>
    <t>Надежность электроинстр.на примере сверлил.машин:Моногр./В.И.Головин-Вуз.уч.,НИЦ ИНФРА-М,2024-146(о)</t>
  </si>
  <si>
    <t>НАДЕЖНОСТЬ ЭЛЕКТРОИНСТРУМЕНТА НА ПРИМЕРЕ СВЕРЛИЛЬНЫХ МАШИН</t>
  </si>
  <si>
    <t>Головин В.И., Харченко А.О.</t>
  </si>
  <si>
    <t>978-5-9558-0465-1</t>
  </si>
  <si>
    <t>15.04.01, 15.04.05</t>
  </si>
  <si>
    <t>724491.06.01</t>
  </si>
  <si>
    <t>Надзор прокурора за возбужд. и расслед. уголов. дел: Моногр. / К.А.Таболина - М.:Юр.Норма,2025. - 320 с.(П)</t>
  </si>
  <si>
    <t>НАДЗОР ПРОКУРОРА ЗА ВОЗБУЖДЕНИЕМ И РАССЛЕДОВАНИЕМ УГОЛОВНЫХ ДЕЛ</t>
  </si>
  <si>
    <t>Таболина К.А.</t>
  </si>
  <si>
    <t>978-5-00156-034-0</t>
  </si>
  <si>
    <t>40.04.01, 40.05.02, 40.06.01</t>
  </si>
  <si>
    <t>385200.09.01</t>
  </si>
  <si>
    <t>Наднациональное право и гос. суверенитет..: Моногр. / В.Е.Чиркин - М.:Юр. НОРМА, НИЦ ИНФРА-М,2026. - 40 с.(о)</t>
  </si>
  <si>
    <t>НАДНАЦИОНАЛЬНОЕ ПРАВО И ГОСУДАРСТВЕННЫЙ СУВЕРЕНИТЕТ (НЕКОТОРЫЕ ПРОБЛЕМЫ ТЕОРИИ)</t>
  </si>
  <si>
    <t>978-5-91768-651-6</t>
  </si>
  <si>
    <t>650401.04.01</t>
  </si>
  <si>
    <t>Наднациональные модели налог.сис.:от Китая...: Моногр./ А.В.Гурнак-М.:Магистр, НИЦ ИНФРА-М,2021-272с(П)</t>
  </si>
  <si>
    <t>НАДНАЦИОНАЛЬНЫЕ МОДЕЛИ НАЛОГОВЫХ СИСТЕМ: ОТ КИТАЯ ДО МАГРИБА</t>
  </si>
  <si>
    <t>Гурнак А.В., Вишневский В.П., Вишневская Е.Н. и др.</t>
  </si>
  <si>
    <t>978-5-9776-0453-6</t>
  </si>
  <si>
    <t>761502.01.01</t>
  </si>
  <si>
    <t>Налоги граждан в инициативном бюджетировании: Моногр. / В.В.Вагин.-М.:НИЦ ИНФРА-М,2022.-160 с.(Науч.мысль)(О)</t>
  </si>
  <si>
    <t>НАЛОГИ ГРАЖДАН В ИНИЦИАТИВНОМ БЮДЖЕТИРОВАНИИ</t>
  </si>
  <si>
    <t>Вагин В.В., Пинская М.Р., Гаврилова Н.В. и др.</t>
  </si>
  <si>
    <t>978-5-16-017153-1</t>
  </si>
  <si>
    <t>239700.06.01</t>
  </si>
  <si>
    <t>Налоговая конкуренция: от теории к практике: Монография / М.Р.Пинская - М.:НИЦ ИНФРА-М,2022 - 137 с.(О)</t>
  </si>
  <si>
    <t>НАЛОГОВАЯ КОНКУРЕНЦИЯ: ОТ ТЕОРИИ К ПРАКТИКЕ</t>
  </si>
  <si>
    <t>Пинская М. Р.</t>
  </si>
  <si>
    <t>978-5-16-009224-9</t>
  </si>
  <si>
    <t>38.03.01, 38.04.01, 40.03.01, 44.03.01, 44.03.05</t>
  </si>
  <si>
    <t>694100.04.01</t>
  </si>
  <si>
    <t>Налоговая система РФ и ее характеристики: Моногр./М.Ю.Малкина-М.:НИЦ ИНФРА-М,2024-127с.(Науч.мысль)(О)</t>
  </si>
  <si>
    <t>НАЛОГОВАЯ СИСТЕМА РОССИЙСКОЙ ФЕДЕРАЦИИ И ЕЕ ХАРАКТЕРИСТИКИ</t>
  </si>
  <si>
    <t>Малкина М.Ю., Балакин Р.В.</t>
  </si>
  <si>
    <t>978-5-16-014544-0</t>
  </si>
  <si>
    <t>38.03.01, 40.03.01, 44.03.01, 44.03.05</t>
  </si>
  <si>
    <t>651468.05.01</t>
  </si>
  <si>
    <t>Налоговая система РФ: пробл..: Моногр. / В.Г.Пансков - М.:Вуз.уч., НИЦ ИНФРА-М,2023-246с(Науч.книга)(О)</t>
  </si>
  <si>
    <t>НАЛОГОВАЯ СИСТЕМА РФ: ПРОБЛЕМЫ СТАНОВЛЕНИЯ И РАЗВИТИЯ</t>
  </si>
  <si>
    <t>Пансков В.Г.</t>
  </si>
  <si>
    <t>978-5-9558-0549-8</t>
  </si>
  <si>
    <t>38.03.01, 38.04.08, 44.03.01, 44.03.05</t>
  </si>
  <si>
    <t>673879.01.01</t>
  </si>
  <si>
    <t>Налоговая система...: Монография / Н.Г.Привалов-М.:НИЦ ИНФРА-М,2023.-417 с.(Науч.мысль)(П)</t>
  </si>
  <si>
    <t>НАЛОГОВАЯ СИСТЕМА: ТЕОРЕТИЧЕСКИЙ И МЕТОДОЛОГИЧЕСКИЙ АСПЕКТ. НАЛОГОВЫЙ ПРОДУКТ</t>
  </si>
  <si>
    <t>Привалов Н.Г., Привалова С.Г.</t>
  </si>
  <si>
    <t>978-5-16-017739-7</t>
  </si>
  <si>
    <t>38.03.01, 38.04.08, 38.05.02, 38.06.01</t>
  </si>
  <si>
    <t>Российский государственный университет правосудия Северо-Западный филиал</t>
  </si>
  <si>
    <t>740790.02.01</t>
  </si>
  <si>
    <t>Налоговое стимулир. промыш. производства: Моногр. / Под ред. Пинской М.Р.-М.:НИЦ ИНФРА-М,2022.-132 с.(О)</t>
  </si>
  <si>
    <t>НАЛОГОВОЕ СТИМУЛИРОВАНИЕ ПРОМЫШЛЕННОГО ПРОИЗВОДСТВА</t>
  </si>
  <si>
    <t>Гереев Р.А., Пинская М.Р.</t>
  </si>
  <si>
    <t>978-5-16-016673-5</t>
  </si>
  <si>
    <t>ПАО СБЕРБАНК</t>
  </si>
  <si>
    <t>673962.03.01</t>
  </si>
  <si>
    <t>Налоговое стимулир. ресурсосбережения в неоиндустр. эк.:Моногр. / Л.П.Королева-М.:НИЦ ИНФРА-М,2023-203с.(п)</t>
  </si>
  <si>
    <t>НАЛОГОВОЕ СТИМУЛИРОВАНИЕ РЕСУРСОСБЕРЕЖЕНИЯ В НЕОИНДУСТРИАЛЬНОЙ ЭКОНОМИКЕ</t>
  </si>
  <si>
    <t>Королева Л.П.</t>
  </si>
  <si>
    <t>978-5-16-013497-0</t>
  </si>
  <si>
    <t>187450.09.01</t>
  </si>
  <si>
    <t>Налоговый менеджмент и налоговое планир. в России: Моногр. / Е.Н.Евстигнеев-М.:НИЦ ИНФРА-М,2020-270с.(О)</t>
  </si>
  <si>
    <t>НАЛОГОВЫЙ МЕНЕДЖМЕНТ И НАЛОГОВОЕ ПЛАНИРОВАНИЕ В РОССИИ</t>
  </si>
  <si>
    <t>Евстигнеев Е. Н., Викторова Н. Г.</t>
  </si>
  <si>
    <t>978-5-16-005597-8</t>
  </si>
  <si>
    <t>38.03.01, 38.03.02, 38.04.01, 38.04.02, 38.04.08, 40.03.01</t>
  </si>
  <si>
    <t>767302.01.01</t>
  </si>
  <si>
    <t>Нанокомпьютерная терминология: Вопросы теории: Моногр. / М.Р.Милуд - М.:НИЦ ИНФРА-М,2022-125 с(Науч.мысль)(О)</t>
  </si>
  <si>
    <t>НАНОКОМПЬЮТЕРНАЯ ТЕРМИНОЛОГИЯ: ВОПРОСЫ ТЕОРИИ</t>
  </si>
  <si>
    <t>Милуд М.Р.</t>
  </si>
  <si>
    <t>978-5-16-017405-1</t>
  </si>
  <si>
    <t>09.03.01, 09.04.01, 09.04.02, 09.04.03, 09.04.04, 09.05.01, 09.06.01</t>
  </si>
  <si>
    <t>771342.02.01</t>
  </si>
  <si>
    <t>Направления проектных работ в области космиче...: Моногр. / А.А.Рихтер-М.:НИЦ ИНФРА-М,2024 -277 с.(П)</t>
  </si>
  <si>
    <t>НАПРАВЛЕНИЯ ПРОЕКТНЫХ РАБОТ В ОБЛАСТИ КОСМИЧЕСКОГО ЭКОЛОГИЧЕСКОГО МОНИТОРИНГА И ТРЁХМЕРНОГО МОДЕЛИРОВАНИЯ</t>
  </si>
  <si>
    <t>Рихтер А.А., Шахраманьян М.А.</t>
  </si>
  <si>
    <t>978-5-16-017489-1</t>
  </si>
  <si>
    <t>05.03.06, 20.04.01, 20.04.02</t>
  </si>
  <si>
    <t>453100.06.01</t>
  </si>
  <si>
    <t>Народно-сценический танец: Моногр. / В.Н.Карпенко и др. -М.:НИЦ ИНФРА-М,2024-306с-(Научная мысль)(П)</t>
  </si>
  <si>
    <t>НАРОДНО-СЦЕНИЧЕСКИЙ ТАНЕЦ</t>
  </si>
  <si>
    <t>Карпенко В.Н., Карпенко И.А., Багана Ж.</t>
  </si>
  <si>
    <t>978-5-16-011459-0</t>
  </si>
  <si>
    <t>51.03.02, 52.03.01</t>
  </si>
  <si>
    <t>674691.01.01</t>
  </si>
  <si>
    <t>Насекомые в лесных биоценозах Камчатки: Моногр./ А.Н.Сметанин-М:НИЦ ИНФРА-М,2018-242с(Науч.мысль)(О)</t>
  </si>
  <si>
    <t>НАСЕКОМЫЕ В ЛЕСНЫХ БИОЦЕНОЗАХ КАМЧАТКИ</t>
  </si>
  <si>
    <t>Сметанин А.Н.</t>
  </si>
  <si>
    <t>978-5-16-014023-0</t>
  </si>
  <si>
    <t>05.03.06, 05.04.06, 06.03.01, 06.04.01, 35.03.01, 35.04.01, 44.03.05</t>
  </si>
  <si>
    <t>825800.01.01</t>
  </si>
  <si>
    <t>Наследие святителя Т. Задонского и формир. нац.-дух.../ Б.О.Архангельский-М.:НИЦ ИНФРА-М,2025.-293 с.(п)</t>
  </si>
  <si>
    <t>НАСЛЕДИЕ СВЯТИТЕЛЯ ТИХОНА ЗАДОНСКОГО И ФОРМИРОВАНИЕ НАЦИОНАЛЬНО-ДУХОВНОЙ ИДЕНТИЧНОСТИ В СОВРЕМЕННОМ МИРЕ</t>
  </si>
  <si>
    <t>Стюфляева Н.В., Сатарова Л.Г., Безбородова Н.Я. и др.</t>
  </si>
  <si>
    <t>978-5-16-019876-7</t>
  </si>
  <si>
    <t>47.04.01, 47.04.03, 47.06.01, 48.04.01, 48.06.01</t>
  </si>
  <si>
    <t>306400.09.01</t>
  </si>
  <si>
    <t>Наследие Чингисхана: Моногр. / Н.С.Трубецкой - М.:НИЦ ИНФРА-М,2025 - 267 с.(Евразийский путь)(П)</t>
  </si>
  <si>
    <t>НАСЛЕДИЕ ЧИНГИСХАНА</t>
  </si>
  <si>
    <t>978-5-16-010259-7</t>
  </si>
  <si>
    <t>41.03.04, 41.04.04</t>
  </si>
  <si>
    <t>795901.08.01</t>
  </si>
  <si>
    <t>Наставление по физической подготовке в Вооруженных силах РФ (НФП 2023) - М.:НИЦ ИНФРА-М,2025. - 232 с.(о)</t>
  </si>
  <si>
    <t>НАСТАВЛЕНИЕ ПО ФИЗИЧЕСКОЙ ПОДГОТОВКЕ В ВООРУЖЕННЫХ СИЛАХ РОССИЙСКОЙ ФЕДЕРАЦИИ</t>
  </si>
  <si>
    <t>978-5-16-019453-0</t>
  </si>
  <si>
    <t>Правила</t>
  </si>
  <si>
    <t>00.01.05, 00.02.14, 00.03.14, 00.05.14</t>
  </si>
  <si>
    <t>764952.01.01</t>
  </si>
  <si>
    <t>Наука в политарном обществе: прикл. и судьбы...: Моногр. / В.Ю.Васечко - М.:НИЦ ИНФРА-М,2022 - 373 с(О)</t>
  </si>
  <si>
    <t>НАУКА В ПОЛИТАРНОМ ОБЩЕСТВЕ: ПРИКЛЮЧЕНИЯ И СУДЬБЫ УЧЕНЫХ В ЦИВИЛИЗАЦИЯХ ДРЕВНЕГО И СРЕДНЕВЕКОВОГО ВОСТОКА</t>
  </si>
  <si>
    <t>Васечко В.Ю.</t>
  </si>
  <si>
    <t>978-5-16-017223-1</t>
  </si>
  <si>
    <t>00.06.01</t>
  </si>
  <si>
    <t>Институт философии и права Уральского отделения Российской академии наук</t>
  </si>
  <si>
    <t>719163.02.01</t>
  </si>
  <si>
    <t>Наукометрический аппарат исслед. в сфере соврем. образ.: Моногр./В.А.Дадалко-М.:НИЦ ИНФРА-М,2024-182с.(О)</t>
  </si>
  <si>
    <t>НАУКОМЕТРИЧЕСКИЙ АППАРАТ ИССЛЕДОВАНИЙ В СФЕРЕ СОВРЕМЕННОГО ОБРАЗОВАНИЯ</t>
  </si>
  <si>
    <t>Дадалко В.А.</t>
  </si>
  <si>
    <t>978-5-16-014920-2</t>
  </si>
  <si>
    <t>00.03.16, 00.04.16, 00.05.16</t>
  </si>
  <si>
    <t>675070.04.01</t>
  </si>
  <si>
    <t>Научная деят. студентов: систем. анализ: Моногр./ В.В.Байлук - М.:НИЦ ИНФРА-М,2024-145с(Науч.мысль)(О)</t>
  </si>
  <si>
    <t>НАУЧНАЯ ДЕЯТЕЛЬНОСТЬ СТУДЕНТОВ: СИСТЕМНЫЙ АНАЛИЗ</t>
  </si>
  <si>
    <t>Байлук В.В.</t>
  </si>
  <si>
    <t>978-5-16-013656-1</t>
  </si>
  <si>
    <t>22.04.02, 28.04.02, 38.03.01, 47.04.03</t>
  </si>
  <si>
    <t>Уральский государственный педагогический университет</t>
  </si>
  <si>
    <t>806874.01.01</t>
  </si>
  <si>
    <t>Научное право: Моногр. / Под ред. Васильева А.А.-М.:НИЦ ИНФРА-М,2024.-290 с.(Науч.мысль)(п)</t>
  </si>
  <si>
    <t>НАУЧНОЕ ПРАВО</t>
  </si>
  <si>
    <t>Семенов Е.В., Васильев А.А., Шпопер Д. и др.</t>
  </si>
  <si>
    <t>978-5-16-018873-7</t>
  </si>
  <si>
    <t>Институт социологии Российской академии наук</t>
  </si>
  <si>
    <t>796510.01.01</t>
  </si>
  <si>
    <t>Научно-практич. комментарий к Федеральному закону от 3.08.2018 г./ Е.А.Галиновская-М.:НИЦ ИНФРА-М,2023.-184 с(п)</t>
  </si>
  <si>
    <t>НАУЧНО-ПРАКТИЧЕСКИЙ КОММЕНТАРИЙ К ФЕДЕРАЛЬНОМУ ЗАКОНУ ОТ 3 АВГУСТА 2018 Г. № 280-ФЗ «ОБ ОРГАНИЧЕСКОЙ ПРОДУКЦИИ И О ВНЕСЕНИИ ИЗМЕНЕНИЙ В ОТДЕЛЬНЫЕ ЗАКО</t>
  </si>
  <si>
    <t>Галиновская Е.А., Игнатьева И.А., Калмыкова А.В. и др.</t>
  </si>
  <si>
    <t>978-5-16-018142-4</t>
  </si>
  <si>
    <t>35.04.04, 35.06.01</t>
  </si>
  <si>
    <t>796511.01.01</t>
  </si>
  <si>
    <t>Научно-практич. комментарий к Федеральному закону... / С.А.Боголюбов-М.:НИЦ ИНФРА-М,2023.-192 с.(п)</t>
  </si>
  <si>
    <t>НАУЧНО-ПРАКТИЧЕСКИЙ КОММЕНТАРИЙ К ФЕДЕРАЛЬНОМУ ЗАКОНУ ОТ 1 МАЯ 1999 Г. № 94-ФЗ «ОБ ОХРАНЕ ОЗЕРА БАЙКАЛ»</t>
  </si>
  <si>
    <t>Боголюбов С.А., Галиновская Е.А., Горохов Д.Б. и др.</t>
  </si>
  <si>
    <t>978-5-16-018143-1</t>
  </si>
  <si>
    <t>06.04.01, 06.06.01, 20.04.01, 20.06.01, 40.06.01</t>
  </si>
  <si>
    <t>660106.02.01</t>
  </si>
  <si>
    <t>Научно-практические приемы соверш. обработки...: Моногр. / А.И.Беленков-М.:НИЦ ИНФРА-М,2023.-279с(О)</t>
  </si>
  <si>
    <t>НАУЧНО-ПРАКТИЧЕСКИЕ ПРИЕМЫ СОВЕРШЕНСТВОВАНИЯ ОБРАБОТКИ ПОЧВЫ В СОВРЕМЕННЫХ АДАПТИВНО-ЛАНДШАФТНЫХ СИСТЕМАХ ЗЕМЛЕДЕЛИЯ</t>
  </si>
  <si>
    <t>Беленков А.И., Шевченко В.А., Трофимова Т.А. и др.</t>
  </si>
  <si>
    <t>978-5-16-014805-2</t>
  </si>
  <si>
    <t>35.04.04</t>
  </si>
  <si>
    <t>776760.05.01</t>
  </si>
  <si>
    <t>Научно-прикладные задачи техносферной безопас.: Моногр. / Ю.В.Есипов.- М.:НИЦ ИНФРА-М,2025. - 123 с.(П)</t>
  </si>
  <si>
    <t>НАУЧНО-ПРИКЛАДНЫЕ ЗАДАЧИ ТЕХНОСФЕРНОЙ БЕЗОПАСНОСТИ</t>
  </si>
  <si>
    <t>Есипов Ю.В., Месхи Б.Ч., Джиляджи М.С.</t>
  </si>
  <si>
    <t>978-5-16-017823-3</t>
  </si>
  <si>
    <t>20.04.01, 20.05.01, 20.06.01</t>
  </si>
  <si>
    <t>800718.01.01</t>
  </si>
  <si>
    <t>Научные и логико-философ. основы методич. принц. обуч. иностр.яз.) / С.А.Ламзин-М.:НИЦ ИНФРА-М,2023.-208с(О)</t>
  </si>
  <si>
    <t>НАУЧНЫЕ И ЛОГИКО-ФИЛОСОФСКИЕ ОСНОВЫ МЕТОДИЧЕСКИХ ПРИНЦИПОВ ОБУЧЕНИЯ ИНОСТРАННЫМ  ЯЗЫКАМ (СИНЕРГЕТИЧЕСКИЙ АСПЕКТ)</t>
  </si>
  <si>
    <t>Ламзин С.А.</t>
  </si>
  <si>
    <t>978-5-16-018481-4</t>
  </si>
  <si>
    <t>44.04.02, 45.04.02</t>
  </si>
  <si>
    <t>819810.06.01</t>
  </si>
  <si>
    <t>Научные концепции развития рос. законодательства: Моногр. / Т,Я Хабриева - 8 изд. - М.:Юр. НОРМА,2025. - 656 с.(п)</t>
  </si>
  <si>
    <t>НАУЧНЫЕ КОНЦЕПЦИИ РАЗВИТИЯ РОССИЙСКОГО ЗАКОНОДАТЕЛЬСТВА, ИЗД.8</t>
  </si>
  <si>
    <t>978-5-00156-353-2</t>
  </si>
  <si>
    <t>0824</t>
  </si>
  <si>
    <t>717503.04.01</t>
  </si>
  <si>
    <t>Научные основы практической экобиотехнологии: Моногр./ Н.М.Исмаилов-М.:НИЦ ИНФРА-М,2023.-414 с.(О)</t>
  </si>
  <si>
    <t>НАУЧНЫЕ ОСНОВЫ ПРАКТИЧЕСКОЙ ЭКОБИОТЕХНОЛОГИИ</t>
  </si>
  <si>
    <t>978-5-16-015723-8</t>
  </si>
  <si>
    <t>19.03.01, 19.04.01</t>
  </si>
  <si>
    <t>341500.07.01</t>
  </si>
  <si>
    <t>Научные основы произ.изделий из термопласт...: Моногр. / Г.С.Головкин - М.:НИЦ ИНФРА-М,2026. - 471 с.(о)</t>
  </si>
  <si>
    <t>НАУЧНЫЕ ОСНОВЫ ПРОИЗВОДСТВА ИЗДЕЛИЙ ИЗ ТЕРМОПЛАСТИЧНЫХ КОМПОЗИЦИОННЫХ МАТЕРИАЛОВ</t>
  </si>
  <si>
    <t>Головкин Г.С., Дмитренко В.П.</t>
  </si>
  <si>
    <t>978-5-16-010757-8</t>
  </si>
  <si>
    <t>18.03.01, 18.04.01</t>
  </si>
  <si>
    <t>696054.03.01</t>
  </si>
  <si>
    <t>Научные трансакции: сети и иерархии в обществ.науках: Моногр./Макаренко В.П.-М.:НИЦ ИНФРА-М,2022-300с(П)</t>
  </si>
  <si>
    <t>НАУЧНЫЕ ТРАНСАКЦИИ: СЕТИ И ИЕРАРХИИ В ОБЩЕСТВЕННЫХ НАУКАХ</t>
  </si>
  <si>
    <t>Олейник А.Н., Акопян А., Макаренко В.П.</t>
  </si>
  <si>
    <t>978-5-16-014639-3</t>
  </si>
  <si>
    <t>Центральный экономико-математический институт Российской академии наук</t>
  </si>
  <si>
    <t>800133.01.01</t>
  </si>
  <si>
    <t>Национализм как пробл. социальной философии: Моногр. / К.В.Аршин - М.:НИЦ ИНФРА-М,2026. - 210 с.(п)</t>
  </si>
  <si>
    <t>НАЦИОНАЛИЗМ КАК ПРОБЛЕМА СОЦИАЛЬНОЙ ФИЛОСОФИИ</t>
  </si>
  <si>
    <t>978-5-16-020817-6</t>
  </si>
  <si>
    <t>37.06.01, 41.04.04, 41.04.06, 41.06.01</t>
  </si>
  <si>
    <t>757872.03.01</t>
  </si>
  <si>
    <t>Национальная безопас., юр. ответств. и безответс. / Д.А.Липинский - М.:ИЦ РИОР, НИЦ ИНФРА-М,2025-578 с.(П)</t>
  </si>
  <si>
    <t>НАЦИОНАЛЬНАЯ БЕЗОПАСНОСТЬ, ЮРИДИЧЕСКАЯ ОТВЕТСТВЕННОСТЬ И БЕЗОТВЕТСТВЕННОСТЬ</t>
  </si>
  <si>
    <t>Липинский Д.А., Макарейко Н.В., Мусаткина А.А. и др.</t>
  </si>
  <si>
    <t>978-5-369-01874-3</t>
  </si>
  <si>
    <t>40.05.01, 40.06.01, 41.03.06, 41.06.01, 57.04.01, 57.05.01, 57.05.02</t>
  </si>
  <si>
    <t>753346.07.01</t>
  </si>
  <si>
    <t>Национальная идея России во...: Моногр. / В.С.Нерсесянц - М.:Юр.Норма, НИЦ ИНФРА-М,2026 - 64 с.(О)</t>
  </si>
  <si>
    <t>НАЦИОНАЛЬНАЯ ИДЕЯ РОССИИ ВО ВСЕМИРНО-ИСТОРИЧЕСКОМ ПРОГРЕССЕ РАВЕНСТВА, СВОБОДЫ И СПРАВЕДЛИВОСТИ. МАНИФЕСТ О ЦИВИЛИЗМЕ</t>
  </si>
  <si>
    <t>Нерсесянц В.С.</t>
  </si>
  <si>
    <t>978-5-00156-158-3</t>
  </si>
  <si>
    <t>834608.01.01</t>
  </si>
  <si>
    <t>Национальная инвестиц. экосистема: Моногр. / Н.А.Патутина - М.:НИЦ ИНФРА-М,2025. - 194 с.(Науч.мысль)(п)</t>
  </si>
  <si>
    <t>НАЦИОНАЛЬНАЯ ИНВЕСТИЦИОННАЯ ЭКОСИСТЕМА</t>
  </si>
  <si>
    <t>Кривошеин Н.В., Патутина Н.А.</t>
  </si>
  <si>
    <t>978-5-16-020134-4</t>
  </si>
  <si>
    <t>38.04.01, 38.04.02, 38.04.04, 38.04.08, 38.04.09, 38.06.01</t>
  </si>
  <si>
    <t>Финансовый университет при Правительстве Российской Федерации, ф-л Центр "Локомотивы роста"</t>
  </si>
  <si>
    <t>722085.09.01</t>
  </si>
  <si>
    <t>Национальная система стандартизации РФ..: Моногр. / А.Н.Барыкин - М.:НИЦ ИНФРА-М,2025 - 191 с.(П)</t>
  </si>
  <si>
    <t>НАЦИОНАЛЬНАЯ СИСТЕМА СТАНДАРТИЗАЦИИ РОССИЙСКОЙ ФЕДЕРАЦИИ. ПРИНЦИПЫ, ЦЕЛИ, ЗАДАЧИ, ПРОГНОЗ РАЗВИТИЯ</t>
  </si>
  <si>
    <t>Барыкин А.Н., Икрянников В.О., Будкин Ю.В.</t>
  </si>
  <si>
    <t>978-5-16-015771-9</t>
  </si>
  <si>
    <t>27.04.01, 27.06.01</t>
  </si>
  <si>
    <t>699388.02.01</t>
  </si>
  <si>
    <t>Национальное и международно-правовое регулир...: Моногр./ Т.Я.Хабриева-М.:НИЦ ИНФРА-М,2023-392с(П)</t>
  </si>
  <si>
    <t>НАЦИОНАЛЬНОЕ И МЕЖДУНАРОДНО-ПРАВОВОЕ РЕГУЛИРОВАНИЕ ПРОТИВОДЕЙСТВИЯ ТОРГОВЛЕ ЛЮДЬМИ И РАБСТВУ В ИХ СОВРЕМЕННЫХ ФОРМАХ</t>
  </si>
  <si>
    <t>Хабриева Т.Я., Автономов А.С., Артемов В.Ю. и др.</t>
  </si>
  <si>
    <t>978-5-16-014693-5</t>
  </si>
  <si>
    <t>849244.01.01</t>
  </si>
  <si>
    <t>Национальные модели политич. процесса как..: Моногр. / В.В.Комарова - М.:Юр. НОРМА, НИЦ ИНФРА-М,2025 - 424 с.(п)</t>
  </si>
  <si>
    <t>НАЦИОНАЛЬНЫЕ МОДЕЛИ ПОЛИТИЧЕСКОГО ПРОЦЕССА КАК ОСНОВА МНОГОПОЛЯРНОГО МИРА: КОНСТИТУЦИОННЫЕ И ПОЛИТОЛОГИЧЕСКИЕ АСПЕКТЫ</t>
  </si>
  <si>
    <t>Комарова В.В., Шапошников А.В., Бабурин С.Н. и др.</t>
  </si>
  <si>
    <t>978-5-00156-410-2</t>
  </si>
  <si>
    <t>40.02.02, 40.04.01, 40.06.01, 41.06.01</t>
  </si>
  <si>
    <t>838038.01.01</t>
  </si>
  <si>
    <t>Национальные модели правовых механизмов предотвращ. / Г.Н.Андреева - М.:Юр. НОРМА, НИЦ ИНФРА-М,2025.-208 с.(п)</t>
  </si>
  <si>
    <t>НАЦИОНАЛЬНЫЕ МОДЕЛИ ПРАВОВЫХ МЕХАНИЗМОВ ПРЕДОТВРАЩЕНИЯ СЕЦЕССИИ В ВЕЛИКОБРИТАНИИ, КАНАДЕ И США</t>
  </si>
  <si>
    <t>Андреева Г.Н., Коданева С.И., Хашина Э.Э.</t>
  </si>
  <si>
    <t>978-5-00156-388-4</t>
  </si>
  <si>
    <t>Институт научной информации по общественным наукам Российской академии наук</t>
  </si>
  <si>
    <t>865474.01.01</t>
  </si>
  <si>
    <t>Национальные модели правовых механизмов...: Моногр. / Г.Н.Андреева - М.:Юр.Норма,НИЦ ИНФРА-М, 2026 - 212 с.(п)</t>
  </si>
  <si>
    <t>НАЦИОНАЛЬНЫЕ МОДЕЛИ ПРАВОВЫХ МЕХАНИЗМОВ ПРЕДОТВРАЩЕНИЯ СЕЦЕССИИ В БЕЛЬГИИ, БОСНИИ И ГЕРЦЕГОВИНЕ, ЛИХТЕНШТЕЙНЕ, ШВЕЙЦАРИИ</t>
  </si>
  <si>
    <t>Андреева Г.Н., Коданева С.И., Хашина Э.Э. и др.</t>
  </si>
  <si>
    <t>978-5-00156-462-1</t>
  </si>
  <si>
    <t>40.05.01, 40.05.02, 40.05.03, 40.05.04, 40.06.01, 41.04.04</t>
  </si>
  <si>
    <t>752424.01.01</t>
  </si>
  <si>
    <t>Начала педагогики безопасности: Моногр. / С.П.Данченко - М.:НИЦ ИНФРА-М,2021 - 192 с.-(Науч.мысль)(О)</t>
  </si>
  <si>
    <t>НАЧАЛА ПЕДАГОГИКИ БЕЗОПАСНОСТИ</t>
  </si>
  <si>
    <t>Данченко С.П.</t>
  </si>
  <si>
    <t>978-5-16-016911-8</t>
  </si>
  <si>
    <t>44.03.01, 44.04.01, 44.04.02, 44.04.04, 44.06.01</t>
  </si>
  <si>
    <t>Санкт-Петербургская академия постдипломного педагогического образования имени К.Д. Ушинского</t>
  </si>
  <si>
    <t>705355.03.01</t>
  </si>
  <si>
    <t>Начала теории законодательных дефектов: Монография / А.Ю.Викулин-М.:Юр.Норма,ИНФРА-М,2023.-344 с.(П)</t>
  </si>
  <si>
    <t>НАЧАЛА ТЕОРИИ ЗАКОНОДАТЕЛЬНЫХ ДЕФЕКТОВ</t>
  </si>
  <si>
    <t>Викулин А.Ю.</t>
  </si>
  <si>
    <t>978-5-91768-628-8</t>
  </si>
  <si>
    <t>457798.0062.01</t>
  </si>
  <si>
    <t>Начальное образование, 2024, № 4</t>
  </si>
  <si>
    <t>НАЧАЛЬНОЕ ОБРАЗОВАНИЕ, 2024, № 4</t>
  </si>
  <si>
    <t>457798.0069.01</t>
  </si>
  <si>
    <t>Начальное образование, 2025, № 5</t>
  </si>
  <si>
    <t>НАЧАЛЬНОЕ ОБРАЗОВАНИЕ, 2025, № 5</t>
  </si>
  <si>
    <t>0103</t>
  </si>
  <si>
    <t>826044.01.01</t>
  </si>
  <si>
    <t>Начертательная геометрия: Сл. / Н.А.Сальков - М.:НИЦ ИНФРА-М,2025. - 178 с.(Б-ка сл. ИНФРА-М)(п)</t>
  </si>
  <si>
    <t>НАЧЕРТАТЕЛЬНАЯ ГЕОМЕТРИЯ</t>
  </si>
  <si>
    <t>978-5-16-020000-2</t>
  </si>
  <si>
    <t>08.05.02, 11.05.01, 12.03.02, 12.03.05, 12.05.01, 13.03.03, 14.05.01, 15.03.03, 15.05.01, 16.03.02, 16.05.01, 17.05.01, 17.05.02, 18.05.01, 18.05.02, 19.03.03, 20.03.01, 20.03.02, 21.03.02, 21.05.04, 21.05.05, 21.05.06, 23.03.02, 23.05.01, 23.05.02, 23.05.03, 23.05.06, 24.03.01, 24.03.02, 24.03.03, 24.03.04, 24.03.05, 24.05.01, 24.05.03, 24.05.04, 24.05.06, 24.05.07, 26.03.02, 28.03.02, 28.03.03, 35.03.06, 35.03.10, 54.03.01, 54.03.04</t>
  </si>
  <si>
    <t>460350.05.01</t>
  </si>
  <si>
    <t>НДС: прямой метод исчисления: Моногр. / Б.А.Романов-М.:ИЦ РИОР, НИЦ ИНФРА-М,2024.-116 с.(Науч.мысль)(о)</t>
  </si>
  <si>
    <t>НДС: ПРЯМОЙ МЕТОД ИСЧИСЛЕНИЯ</t>
  </si>
  <si>
    <t>Романов Б.А.</t>
  </si>
  <si>
    <t>978-5-369-01318-2</t>
  </si>
  <si>
    <t>38.03.01, 38.03.04, 38.04.01, 38.04.04, 38.04.08, 38.04.09, 44.03.01, 44.03.05</t>
  </si>
  <si>
    <t>399800.08.01</t>
  </si>
  <si>
    <t>Невербальный язык немцев: Моногр. / В.И.Дубинский - М.:НИЦ ИНФРА-М,2023 - 82 с..-(Науч.мысль)(О)</t>
  </si>
  <si>
    <t>НЕВЕРБАЛЬНЫЙ ЯЗЫК НЕМЦЕВ</t>
  </si>
  <si>
    <t>Дубинский В.И.</t>
  </si>
  <si>
    <t>978-5-16-011284-8</t>
  </si>
  <si>
    <t>38.03.01, 45.03.01, 51.03.01, 51.03.02</t>
  </si>
  <si>
    <t>768262.01.01</t>
  </si>
  <si>
    <t>Недуг славы. Исторические, психопатологич. и социально-психол. аспекты: Моногр. / А.В.Шувалов, -М.:НИЦ ИНФРА-М,2021-525 с.(П)</t>
  </si>
  <si>
    <t>НЕДУГ СЛАВЫ. ИСТОРИЧЕСКИЕ, ПСИХОПАТОЛОГИЧЕСКИЕ И СОЦИАЛЬНО-ПСИХОЛОГИЧЕСКИЕ АСПЕКТЫ</t>
  </si>
  <si>
    <t>Шувалов А.В., Пойзнер Б.Н., Бузик О.Ж.</t>
  </si>
  <si>
    <t>978-5-16-017340-5</t>
  </si>
  <si>
    <t>37.03.01, 37.03.02, 37.04.01, 37.04.02, 37.05.01, 37.05.02, 37.06.01, 38.04.03, 44.04.02, 44.05.01</t>
  </si>
  <si>
    <t>309000.03.01</t>
  </si>
  <si>
    <t>Независимая наднациональная валюта..: Моногр. / А.В.Быстров-М.:НИЦ ИНФРА-М,2018-132с.(Науч.мысль)(О)</t>
  </si>
  <si>
    <t>НЕЗАВИСИМАЯ НАДНАЦИОНАЛЬНАЯ ВАЛЮТА: ТЕОРИЯ И ПРАКТИКА</t>
  </si>
  <si>
    <t>Быстров А.В., Быстрова Д.А., Лызина Н.В. и др.</t>
  </si>
  <si>
    <t>978-5-16-011838-3</t>
  </si>
  <si>
    <t>38.03.01, 38.03.02, 38.04.08, 41.03.06, 44.03.01</t>
  </si>
  <si>
    <t>Институт исследований социального и экономико-технологического развития общестав</t>
  </si>
  <si>
    <t>675412.06.01</t>
  </si>
  <si>
    <t>Некоммерческие организации в межд.и нац.праве / Т.Я.Хабриева-М.:Юр.Норма, НИЦ ИНФРА-М,2022-304с(П)</t>
  </si>
  <si>
    <t>НЕКОММЕРЧЕСКИЕ ОРГАНИЗАЦИИ В МЕЖДУНАРОДНОМ И НАЦИОНАЛЬНОМ ПРАВЕ</t>
  </si>
  <si>
    <t>Хабриева Т.Я., Чиркин С.В.</t>
  </si>
  <si>
    <t>978-5-91768-891-6</t>
  </si>
  <si>
    <t>38.03.04, 40.02.04, 40.03.01, 40.04.01</t>
  </si>
  <si>
    <t>280300.06.01</t>
  </si>
  <si>
    <t>Некоторые проблемы теории и философии права: Моногр. / С.И. Захарцев - М.: Норма, 2026 - 208 с.(п)</t>
  </si>
  <si>
    <t>НЕКОТОРЫЕ ПРОБЛЕМЫ ТЕОРИИ И ФИЛОСОФИИ ПРАВА</t>
  </si>
  <si>
    <t>Захарцев С. И., Сальников В. П.</t>
  </si>
  <si>
    <t>978-5-91768-491-8</t>
  </si>
  <si>
    <t>40.03.01, 41.03.01, 41.03.06, 44.03.05</t>
  </si>
  <si>
    <t>639685.02.01</t>
  </si>
  <si>
    <t>Нелепости века: Монография / С.В.Борзых - М.:НИЦ ИНФРА-М,2021 - 167 с.-(Науч.мысль)(о)</t>
  </si>
  <si>
    <t>НЕЛЕПОСТИ ВЕКА</t>
  </si>
  <si>
    <t>978-5-16-016966-8</t>
  </si>
  <si>
    <t>450200.02.01</t>
  </si>
  <si>
    <t>Нелинейная динам.океанотехн.сист.: Моногр./В.М.Кушнир-М.:Вуз.уч.,НИЦ ИНФРА-М,2024-320с(Науч.книга)(о)</t>
  </si>
  <si>
    <t>НЕЛИНЕЙНАЯ ДИНАМИКА ОКЕАНОТЕХНИЧЕСКИХ СИСТЕМ</t>
  </si>
  <si>
    <t>Кушнир В.М., Душко В.Р., Крамарь В.А.</t>
  </si>
  <si>
    <t>978-5-9558-0470-5</t>
  </si>
  <si>
    <t>26.03.02, 26.04.02, 26.05.01</t>
  </si>
  <si>
    <t>704979.09.01</t>
  </si>
  <si>
    <t>Немедикаментозные методы реабилитации: цветотерапия..: Моногр. / В.Н.Любчик. - М:ИНФРА-М,2026 - 182 с.(О)</t>
  </si>
  <si>
    <t>НЕМЕДИКАМЕНТОЗНЫЕ МЕТОДЫ РЕАБИЛИТАЦИИ: ЦВЕТОТЕРАПИЯ, МУЗЫКОТЕРАПИЯ, АЭРОФИТОТЕРАПИЯ С ЭФИРНЫМИ МАСЛАМИ РАСТЕНИЙ</t>
  </si>
  <si>
    <t>Любчик В.Н., Мирошниченко Н.В., Голубова Т.Ф.</t>
  </si>
  <si>
    <t>978-5-16-016728-2</t>
  </si>
  <si>
    <t>31.02.01, 31.05.01, 31.05.02</t>
  </si>
  <si>
    <t>673647.04.01</t>
  </si>
  <si>
    <t>Немецкая лит-ра 1990-х г. Ситуация «поворота»: Моногр/ / Д.А.Чугунов,-2 изд.-М:НИЦ ИНФРА-М,2024-258с(П)</t>
  </si>
  <si>
    <t>НЕМЕЦКАЯ ЛИТЕРАТУРА 1990-Х ГОДОВ. СИТУАЦИЯ «ПОВОРОТА», ИЗД.2</t>
  </si>
  <si>
    <t>978-5-16-013792-6</t>
  </si>
  <si>
    <t>45.03.01, 45.04.01, 45.05.01, 45.06.01</t>
  </si>
  <si>
    <t>669485.02.01</t>
  </si>
  <si>
    <t>Неоднородные сорбенты: Монография / А.Н.Лукьянов-М.:НИЦ ИНФРА-М, СФУ,2024-188с-(Науч.мысль (СФУ))(о)</t>
  </si>
  <si>
    <t>НЕОДНОРОДНЫЕ СОРБЕНТЫ</t>
  </si>
  <si>
    <t>Лукьянов А.Н.</t>
  </si>
  <si>
    <t>978-5-16-018890-4</t>
  </si>
  <si>
    <t>308000.07.01</t>
  </si>
  <si>
    <t>Неонатология и болезни новорожд. телят: Моногр. / В.П.Дегтярев - М.:НИЦ ИНФРА-М,2024-158с(Науч.мысль)(П)</t>
  </si>
  <si>
    <t>НЕОНАТОЛОГИЯ И БОЛЕЗНИ НОВОРОЖДЕННЫХ ТЕЛЯТ</t>
  </si>
  <si>
    <t>Дегтярев В.П., Федотов С.В., Удалов Г.М.</t>
  </si>
  <si>
    <t>978-5-16-012208-3</t>
  </si>
  <si>
    <t>36.03.02</t>
  </si>
  <si>
    <t>787966.04.01</t>
  </si>
  <si>
    <t>Неотложная помощь при кровотечениях в акушерстве: Моногр. / М.И.Неймарк-М.:НИЦ ИНФРА-М,2023.-207 с.(п)</t>
  </si>
  <si>
    <t>НЕОТЛОЖНАЯ ПОМОЩЬ ПРИ КРОВОТЕЧЕНИЯХ В АКУШЕРСТВЕ</t>
  </si>
  <si>
    <t>Неймарк М.И., Николаева М.Г.</t>
  </si>
  <si>
    <t>Научная мысль - АГМУ</t>
  </si>
  <si>
    <t>978-5-16-017973-5</t>
  </si>
  <si>
    <t>30.05.03, 31.05.01, 31.05.02, 31.06.01, 31.07.01, 31.08.01, 32.05.01</t>
  </si>
  <si>
    <t>288500.07.01</t>
  </si>
  <si>
    <t>Непараметрические критерии согласия: Рук. по прим./ Б.Ю.Лемешко, - 2 изд.-М.:НИЦ ИНФРА-М,2024.-201 с.(о)</t>
  </si>
  <si>
    <t>НЕПАРАМЕТРИЧЕСКИЕ КРИТЕРИИ СОГЛАСИЯ, ИЗД.2</t>
  </si>
  <si>
    <t>978-5-16-018942-0</t>
  </si>
  <si>
    <t>05.03.01, 05.03.02, 05.03.03, 05.03.04, 05.03.05, 05.03.06, 05.04.01, 05.04.02, 05.04.03, 05.04.04, 05.04.05, 05.04.06, 06.03.01, 06.04.01, 09.02.03, 30.05.01, 30.05.02, 31.02.03, 31.05.01, 31.05.02, 31.05.03, 37.03.01, 37.03.02, 37.04.01, 37.04.02, 38.02.01, 38.02.03, 38.02.07, 38.02.08, 38.03.01, 38.03.02, 38.03.03, 38.03.04, 38.03.05, 38.03.06, 38.03.07, 38.04.01, 38.04.02, 38.04.03, 38.04.04, 38.04.05, 38.04.06, 38.04.07, 38.04.08, 38.04.09, 38.05.01, 38.05.02, 39.02.01, 39.03.01, 39.04.01, 40.02.04</t>
  </si>
  <si>
    <t>337800.08.01</t>
  </si>
  <si>
    <t>Нераскрытая преступность: Моногр. / М.П. Клейменов - М.:Норма:НИЦ ИНФРА-М, 2025 - 208 с. (о)</t>
  </si>
  <si>
    <t>НЕРАСКРЫТАЯ ПРЕСТУПНОСТЬ</t>
  </si>
  <si>
    <t>Клейменов М.П., Клейменов И.М.</t>
  </si>
  <si>
    <t>978-5-91768-592-2</t>
  </si>
  <si>
    <t>40.03.01, 40.04.01, 40.05.02, 40.05.03</t>
  </si>
  <si>
    <t>433450.13.01</t>
  </si>
  <si>
    <t>Нестероидные противовоспалительные препар.: Практ. реком./Л.И. Дятчина - НИЦ ИНФРА-М, 2022-77с.+вкл. (О к/ф)</t>
  </si>
  <si>
    <t>НЕСТЕРОИДНЫЕ ПРОТИВОВОСПАЛИТЕЛЬНЫЕ ПРЕПАРАТЫ</t>
  </si>
  <si>
    <t>Дятчина Л. И., Ханов А. Г.</t>
  </si>
  <si>
    <t>978-5-16-006680-6</t>
  </si>
  <si>
    <t>31.05.01, 33.05.01</t>
  </si>
  <si>
    <t>Ростовский государственный медицинский университет</t>
  </si>
  <si>
    <t>733399.03.01</t>
  </si>
  <si>
    <t>Нефинансовые факторы формир. финанс. политики... / И.Е.Хвостова - М.:НИЦ ИНФРА-М,2022 - 190 с.(О)</t>
  </si>
  <si>
    <t>НЕФИНАНСОВЫЕ ФАКТОРЫ ФОРМИРОВАНИЯ ФИНАНСОВОЙ ПОЛИТИКИ КОМПАНИИ: СОСТАВ, СТРУКТУРА, ВЗАИМОСВЯЗИ</t>
  </si>
  <si>
    <t>Хвостова И.Е., Макаров А.С., Новак А.Е. и др.</t>
  </si>
  <si>
    <t>978-5-16-016068-9</t>
  </si>
  <si>
    <t>38.04.01, 38.04.02, 38.04.04, 38.04.06, 38.04.08, 38.06.01</t>
  </si>
  <si>
    <t>Национальный исследовательский университет "Высшая школа экономики", ф-л Нижний Новгород</t>
  </si>
  <si>
    <t>778744.01.01</t>
  </si>
  <si>
    <t>Нефтегазовая терминология: опыт лингвист. описания: Моногр. / М.Р.Милуд-М.:НИЦ ИНФРА-М,2023.-141 с.(О)</t>
  </si>
  <si>
    <t>НЕФТЕГАЗОВАЯ ТЕРМИНОЛОГИЯ: ОПЫТ ЛИНГВИСТИЧЕСКОГО ОПИСАНИЯ</t>
  </si>
  <si>
    <t>978-5-16-017882-0</t>
  </si>
  <si>
    <t>482900.04.01</t>
  </si>
  <si>
    <t>Нечетко-логические оптич. процессоры: Моногр. / С.В.Соколов - М.:ИЦ РИОР, НИЦ ИНФРА-М,2022 - 202 с.(О)</t>
  </si>
  <si>
    <t>НЕЧЕТКО-ЛОГИЧЕСКИЕ ОПТИЧЕСКИЕ ПРОЦЕССОРЫ</t>
  </si>
  <si>
    <t>Соколов С.В., Ковалев С.М., Крамаров С.О.</t>
  </si>
  <si>
    <t>978-5-369-01550-6</t>
  </si>
  <si>
    <t>03.03.02, 12.03.02, 12.03.03, 12.03.05, 24.04.02</t>
  </si>
  <si>
    <t>Южный университет (ИУБиП)</t>
  </si>
  <si>
    <t>431950.0014.01</t>
  </si>
  <si>
    <t>НИР. Российский журнал управления проектами, 2017, вып. № 2 (19)</t>
  </si>
  <si>
    <t>НИР. РОССИЙСКИЙ ЖУРНАЛ УПРАВЛЕНИЯ ПРОЕКТАМИ, 2017, № 2 (19)</t>
  </si>
  <si>
    <t>38.00.00, 38.03.02</t>
  </si>
  <si>
    <t>434093.0019.01</t>
  </si>
  <si>
    <t>НИР. Современная коммуникативистика, 2017, вып. № 3 (28)</t>
  </si>
  <si>
    <t>НИР. СОВРЕМЕННАЯ КОММУНИКАТИВИСТИКА, 2017, № 3 (28)</t>
  </si>
  <si>
    <t>428391.0016.01</t>
  </si>
  <si>
    <t>НИР. Экономика фирмы, 2017, вып. №3 (20)</t>
  </si>
  <si>
    <t>НИР. ЭКОНОМИКА ФИРМЫ, 2017, №3 (20)</t>
  </si>
  <si>
    <t>447316.0019.01</t>
  </si>
  <si>
    <t>НИР. Экономика, 2017, вып. № 3 (27)</t>
  </si>
  <si>
    <t>НИР. ЭКОНОМИКА, 2017, № 3 (27)</t>
  </si>
  <si>
    <t>713795.01.01</t>
  </si>
  <si>
    <t>Нищета экономики: Моногр. / С.В.Борзых - М.:НИЦ ИНФРА-М,2020 - 202 с.-(Науч.мысль)(О)</t>
  </si>
  <si>
    <t>НИЩЕТА ЭКОНОМИКИ</t>
  </si>
  <si>
    <t>978-5-16-015418-3</t>
  </si>
  <si>
    <t>38.04.01, 38.04.02, 38.04.04, 38.04.09, 38.06.01, 47.03.01, 47.04.01, 47.06.01</t>
  </si>
  <si>
    <t>640912.10.01</t>
  </si>
  <si>
    <t>Нобелевские лауреаты по эконом. в XXI в.: Т.1: 2000-2007 /Худокормов А.Г.-2 изд.-М.:НИЦ ИНФРА-М,2025-355 с(п)</t>
  </si>
  <si>
    <t>НОБЕЛЕВСКИЕ ЛАУРЕАТЫ ПО ЭКОНОМИКЕ В XXI ВЕКЕ: В 3-Х ТТ., Т.1, ИЗД.2</t>
  </si>
  <si>
    <t>Худокормов А.Г., Ольсевич Ю.Я., Нелюбина А.С. и др.</t>
  </si>
  <si>
    <t>978-5-16-018906-2</t>
  </si>
  <si>
    <t>810453.01.01</t>
  </si>
  <si>
    <t>Нобелевские лауреаты по эконом. в XXI веке: в 3-х т. Т.3: 2017-2020: моногр/Под ред. Худокормов А.Г.-М.:НИЦ ИНФРА-М,2023.-176 с..-(Науч.мысль)(п)</t>
  </si>
  <si>
    <t>НОБЕЛЕВСКИЕ ЛАУРЕАТЫ ПО ЭКОНОМИКЕ В XXI ВЕКЕ: В 3-Х ТТ., Т.3</t>
  </si>
  <si>
    <t>Худокормов А.Г., Даниленко Е.А., Канашкина А.В. и др.</t>
  </si>
  <si>
    <t>978-5-16-018907-9</t>
  </si>
  <si>
    <t>38.03.01, 38.04.01, 38.04.02, 38.04.04, 38.04.08, 38.05.01, 38.05.02</t>
  </si>
  <si>
    <t>750690.03.01</t>
  </si>
  <si>
    <t>Нобелевские лауреаты по эконом. в XXI веке: в 3-х т.Т.2: 2008-2016: моногр/Под ред. Худокормов А.Г.-2-е изд.-М.:НИЦ ИНФРА-М,2023.-334 с..-(Науч.мысль)</t>
  </si>
  <si>
    <t>НОБЕЛЕВСКИЕ ЛАУРЕАТЫ ПО ЭКОНОМИКЕ В XXI ВЕКЕ: В 3-Х ТТ., Т.2, ИЗД.2</t>
  </si>
  <si>
    <t>Худокормов А.Г., Садыгова Н.К., Верешко А.Н. и др.</t>
  </si>
  <si>
    <t>978-5-16-017987-2</t>
  </si>
  <si>
    <t>640912.07.01</t>
  </si>
  <si>
    <t>Нобелевские лауреаты по экономике в XXI в.: Т.1 / А.Г.Худокормов -М.:НИЦ ИНФРА-М,2023-363с.(Науч.мысль)(П)</t>
  </si>
  <si>
    <t>НОБЕЛЕВСКИЕ ЛАУРЕАТЫ ПО ЭКОНОМИКЕ В XXI ВЕКЕ. ТОМ 1, Т.1</t>
  </si>
  <si>
    <t>978-5-16-016488-5</t>
  </si>
  <si>
    <t>750690.02.01</t>
  </si>
  <si>
    <t>Нобелевские лауреаты по экономике в XXI в.: Т.2 / А.Г.Худокормов - М.:НИЦ ИНФРА-М,2022 - 409 с.(Науч.мысль)(П)</t>
  </si>
  <si>
    <t>НОБЕЛЕВСКИЕ ЛАУРЕАТЫ ПО ЭКОНОМИКЕ В XXI ВЕКЕ. ТОМ 2, Т.2</t>
  </si>
  <si>
    <t>Худокормов А.Г., Исламова Я.А., Маслов Г.А. и др.</t>
  </si>
  <si>
    <t>978-5-16-016718-3</t>
  </si>
  <si>
    <t>800233.01.01</t>
  </si>
  <si>
    <t>Новации в аудите: Монография / Ю.Ю.Кочинев - М.:НИЦ ИНФРА-М,2024. - 188 с.(Науч.мысль)(о)</t>
  </si>
  <si>
    <t>НОВАЦИИ В АУДИТЕ</t>
  </si>
  <si>
    <t>Кочинев Ю.Ю.</t>
  </si>
  <si>
    <t>978-5-16-018535-4</t>
  </si>
  <si>
    <t>38.03.01, 38.04.01, 38.04.08, 38.04.09, 38.05.01, 38.05.02</t>
  </si>
  <si>
    <t>807044.04.01</t>
  </si>
  <si>
    <t>Новая модель современного бизнеса: Моногр. / Е.Ф.Авдокушин. - М.:Магистр, НИЦ ИНФРА-М,2026. - 280 с.(п)</t>
  </si>
  <si>
    <t>НОВАЯ МОДЕЛЬ СОВРЕМЕННОГО БИЗНЕСА: ЭКОНОМИКА СОВМЕСТНОГО ПОТРЕБЛЕНИЯ И ИСПОЛЬЗОВАНИЯ</t>
  </si>
  <si>
    <t>Авдокушин Е.Ф., Платонов Е.Д., Кузнецова Е.Г.</t>
  </si>
  <si>
    <t>978-5-16-018885-0</t>
  </si>
  <si>
    <t>851426.01.01</t>
  </si>
  <si>
    <t>Новая реальность международного права: Моногр. / А.Я.Капустин. - М.:Юр. НОРМА, НИЦ ИНФРА-М,2026. - 268 с.(п)</t>
  </si>
  <si>
    <t>НОВАЯ РЕАЛЬНОСТЬ МЕЖДУНАРОДНОГО ПРАВА</t>
  </si>
  <si>
    <t>Капустин А.Я., Авхадеев В.Р., Аду Я.Н. и др.</t>
  </si>
  <si>
    <t>978-5-00156-422-5</t>
  </si>
  <si>
    <t>38.05.02, 40.03.01, 40.04.01, 40.05.01, 40.05.02, 40.05.03, 40.05.04, 40.06.01, 41.04.05, 42.03.02</t>
  </si>
  <si>
    <t>790064.04.01</t>
  </si>
  <si>
    <t>Новая теория денег: законы, принципы, практика: Моногр. / Е.А.Скобликов - М.:НИЦ ИНФРА-М,2026. - 436 с.(п)</t>
  </si>
  <si>
    <t>НОВАЯ ТЕОРИЯ ДЕНЕГ: ЗАКОНЫ, ПРИНЦИПЫ, ПРАКТИКА</t>
  </si>
  <si>
    <t>Скобликов Е.А.</t>
  </si>
  <si>
    <t>978-5-16-018044-1</t>
  </si>
  <si>
    <t>268500.05.01</t>
  </si>
  <si>
    <t>Новая экономика: теория и практ. / Е.Ф.Авдокушин - М.:Магистр, НИЦ ИНФРА-М,2023-368 с(Экономика 2.0)(П)</t>
  </si>
  <si>
    <t>НОВАЯ ЭКОНОМИКА: ТЕОРИЯ И ПРАКТИКА</t>
  </si>
  <si>
    <t>Авдокушин Е.Ф., Авдокушин Е.Ф., Сизов В.С.</t>
  </si>
  <si>
    <t>Экономика 2.0</t>
  </si>
  <si>
    <t>978-5-9776-0306-5</t>
  </si>
  <si>
    <t>38.04.01, 40.03.01, 44.03.05</t>
  </si>
  <si>
    <t>058000.21.01</t>
  </si>
  <si>
    <t>Новая экономическая энц. / Е.Е. Румянцева. - 4 изд. - М.: ИНФРА-М, 2026. - 882 с.(п, dvd)</t>
  </si>
  <si>
    <t>НОВАЯ ЭКОНОМИЧЕСКАЯ ЭНЦИКЛОПЕДИЯ, ИЗД.4</t>
  </si>
  <si>
    <t>Румянцева Е.Е.</t>
  </si>
  <si>
    <t>978-5-16-004189-6</t>
  </si>
  <si>
    <t>0411</t>
  </si>
  <si>
    <t>749703.05.01</t>
  </si>
  <si>
    <t>Новые институты бюджет. права в условиях цифр. рев.: Моногр. / Н.А.Поветкина - М.:Юр.Норма, НИЦ ИНФРА-М,2025 - 192 с.(П)</t>
  </si>
  <si>
    <t>НОВЫЕ ИНСТИТУТЫ БЮДЖЕТНОГО ПРАВА В УСЛОВИЯХ ЦИФРОВОЙ РЕВОЛЮЦИИ</t>
  </si>
  <si>
    <t>Поветкина Н.А., Артюхин Р.Е.</t>
  </si>
  <si>
    <t>978-5-00156-144-6</t>
  </si>
  <si>
    <t>38.03.01, 38.03.04, 38.04.01, 38.04.04, 38.04.08, 38.04.09, 38.06.01, 40.03.01</t>
  </si>
  <si>
    <t>155750.07.01</t>
  </si>
  <si>
    <t>Новые подходы и методы обеспечения уст. развития.../В.И.Подлесных-НИЦ ИНФРА-М,2024-304с(Науч.мысль)</t>
  </si>
  <si>
    <t>НОВЫЕ ПОДХОДЫ И МЕТОДЫ ОБЕСПЕЧЕНИЯ УСТОЙЧИВОГО РАЗВИТИЯ ПРЕДПРИНИМАТЕЛЬСКИХ СТРУКТУР: ТЕОРИЯ ОРГАНИЗАЦИИ, САМООРГАНИЗАЦИИ И УПРАВЛЕНИЯ</t>
  </si>
  <si>
    <t>Подлесных В.И., Кузнецов Н.В., Тихомирова О.Г.</t>
  </si>
  <si>
    <t>978-5-16-009994-1</t>
  </si>
  <si>
    <t>38.03.02, 38.03.04, 38.04.02, 38.04.04, 38.04.08, 41.03.06</t>
  </si>
  <si>
    <t>Национальный исследовательский университет ИТМО</t>
  </si>
  <si>
    <t>799999.01.01</t>
  </si>
  <si>
    <t>Новые подходы к кадровому обеспечению в усл. импортозам...: Моногр./ О.Е.Ломакин -М.:НИЦ ИНФРА-М,2024-181 с.(п)</t>
  </si>
  <si>
    <t>НОВЫЕ ПОДХОДЫ К КАДРОВОМУ ОБЕСПЕЧЕНИЮ В УСЛОВИЯХ ИМПОРТОЗАМЕЩЕНИЯ И ЦИФРОВОЙ ТРАНСФОРМАЦИИ</t>
  </si>
  <si>
    <t>Ломакин О.Е., Можаев Е.Е., Марков А.К.</t>
  </si>
  <si>
    <t>978-5-16-019964-1</t>
  </si>
  <si>
    <t>Институт повышения квалификации руководящих работников и специалистов</t>
  </si>
  <si>
    <t>765618.01.01</t>
  </si>
  <si>
    <t>Новые подходы к моделир. экономич. развития: Моногр. / Е.В.Балацкий-М.:НИЦ ИНФРА-М,2022.-446 с.(О)</t>
  </si>
  <si>
    <t>НОВЫЕ ПОДХОДЫ К МОДЕЛИРОВАНИЮ ЭКОНОМИЧЕСКОГО РАЗВИТИЯ</t>
  </si>
  <si>
    <t>Балацкий Е.В., Екимова Н.А.</t>
  </si>
  <si>
    <t>978-5-16-017584-3</t>
  </si>
  <si>
    <t>852067.01.01</t>
  </si>
  <si>
    <t>Новые подходы к реш. экобиотех. задач с использованием... / Б.С.Ксенофонтов - М.:НИЦ ИНФРА-М,2025. - 217 с.(п)</t>
  </si>
  <si>
    <t>НОВЫЕ ПОДХОДЫ К РЕШЕНИЮ ЭКОБИОТЕХНОЛОГИЧЕСКИХ ЗАДАЧ С ИСПОЛЬЗОВАНИЕМ КОМБИНИРОВАННОЙ ТЕХНИКИ</t>
  </si>
  <si>
    <t>978-5-16-020802-2</t>
  </si>
  <si>
    <t>20.04.02, 20.06.01</t>
  </si>
  <si>
    <t>375800.04.01</t>
  </si>
  <si>
    <t>Новые реалии развития редакций...: Моногр./ Е.А.Баранова-М.:Вуз. уч., НИЦ ИНФРА-М,2022-187 с.(Науч. книга)(П)</t>
  </si>
  <si>
    <t>НОВЫЕ РЕАЛИИ РАЗВИТИЯ РЕДАКЦИЙ, ИЛИ ЧТО ТАКОЕ ГАЗЕТНАЯ КОНВЕРГЕНЦИЯ</t>
  </si>
  <si>
    <t>Баранова Е.А.</t>
  </si>
  <si>
    <t>978-5-9558-0449-1</t>
  </si>
  <si>
    <t>42.04.02, 45.04.01</t>
  </si>
  <si>
    <t>Российский государственный социальный университет</t>
  </si>
  <si>
    <t>801044.02.01</t>
  </si>
  <si>
    <t>Новые тренды цифровизации: Россия и мир: Моногр. / А.Ю.Вереникина. - М.:НИЦ ИНФРА-М,2025. - 209 с.(п)</t>
  </si>
  <si>
    <t>НОВЫЕ ТРЕНДЫ ЦИФРОВИЗАЦИИ: РОССИЯ И МИР</t>
  </si>
  <si>
    <t>Вереникина А.Ю., Дигилина О.Б., Меланьина М.В. и др.</t>
  </si>
  <si>
    <t>978-5-16-018471-5</t>
  </si>
  <si>
    <t>27.04.05, 38.03.01, 38.03.02, 38.04.01, 38.04.02, 38.06.01</t>
  </si>
  <si>
    <t>825893.01.01</t>
  </si>
  <si>
    <t>Новые формы занятости: тенденции развития и..: Моногр. / О.В.Забелина - М.:НИЦ ИНФРА-М,2024. - 287 с.(п)</t>
  </si>
  <si>
    <t>НОВЫЕ ФОРМЫ ЗАНЯТОСТИ: ТЕНДЕНЦИИ РАЗВИТИЯ И ПЕРСПЕКТИВЫ СОКРАЩЕНИЯ ДЕФИЦИТА СОЦИАЛЬНЫХ ГАРАНТИЙ РАБОТНИКОВ</t>
  </si>
  <si>
    <t>Забелина О.В., Мирзабалаева Ф.И., Сергеева М.В. и др.</t>
  </si>
  <si>
    <t>978-5-16-019873-6</t>
  </si>
  <si>
    <t>774996.01.01</t>
  </si>
  <si>
    <t>Новые формы капитализации экономич. пространства...: Моногр. / Н.К.Попадюк-М.:НИЦ ИНФРА-М,2022.-131 с.(О)</t>
  </si>
  <si>
    <t>НОВЫЕ ФОРМЫ КАПИТАЛИЗАЦИИ ЭКОНОМИЧЕСКОГО ПРОСТРАНСТВА РЕГИОНА В ПОСТКРИЗИСНЫЙ ПЕРИОД</t>
  </si>
  <si>
    <t>Попадюк Н.К.</t>
  </si>
  <si>
    <t>978-5-16-017609-3</t>
  </si>
  <si>
    <t>38.04.01, 38.04.04, 38.05.01, 38.06.01</t>
  </si>
  <si>
    <t>246600.06.01</t>
  </si>
  <si>
    <t>Нормативность и авторитарность. Пересечения идей: Моногр. / И.А.Исаев - М.:Юр.Норма, НИЦ ИНФРА-М,2026. - 432 с.(о)</t>
  </si>
  <si>
    <t>НОРМАТИВНОСТЬ И АВТОРИТАРНОСТЬ. ПЕРЕСЕЧЕНИЯ ИДЕЙ</t>
  </si>
  <si>
    <t>Исаев И. А.</t>
  </si>
  <si>
    <t>978-5-91768-437-6</t>
  </si>
  <si>
    <t>808000.01.01</t>
  </si>
  <si>
    <t>Нормативные измер. христианских канонов...: Моногр. / А.А.Сычев-М.:НИЦ ИНФРА-М,2024.-192 с.(Науч.мысль)(о)</t>
  </si>
  <si>
    <t>НОРМАТИВНЫЕ ИЗМЕРЕНИЯ ХРИСТИАНСКИХ КАНОНОВ: ТРАДИЦИИ И ДИНАМИКА</t>
  </si>
  <si>
    <t>Сычев А.А., Коваль Е.А., Жадунова Н.В.</t>
  </si>
  <si>
    <t>978-5-16-018876-8</t>
  </si>
  <si>
    <t>48.03.01, 48.04.01, 48.06.01</t>
  </si>
  <si>
    <t>741212.03.01</t>
  </si>
  <si>
    <t>Нормы международного "мягкого права"  в правовой сис. РФ / Р.М Халафян -М.:Норма.2022.-256 с.215(П)</t>
  </si>
  <si>
    <t>НОРМЫ МЕЖДУНАРОДНОГО "МЯГКОГО ПРАВА"  В ПРАВОВОЙ СИСТЕМЕ РФ:РАЗВИТИЕ МЕХАНИЗМА НАЦИОНАЛЬНО-ПРАВОВОЙ ИМПЛЕМЕНТАЦИИ МЕЖДУНАРОДНЫХ НОРМ</t>
  </si>
  <si>
    <t>Халафян Р.М.</t>
  </si>
  <si>
    <t>978-5-00156-089-0</t>
  </si>
  <si>
    <t>275400.07.01</t>
  </si>
  <si>
    <t>Нормы процессуального права: теор...: Моногр. / Р.В.Шагиева - М.:Юр.Норма, НИЦ ИНФРА-М,2025  - 176 с.(О)</t>
  </si>
  <si>
    <t>НОРМЫ ПРОЦЕССУАЛЬНОГО ПРАВА: ТЕОРИЯ И ПРАКТИКА ИХ РЕАЛИЗАЦИИ</t>
  </si>
  <si>
    <t>Шагиева Р.В.</t>
  </si>
  <si>
    <t>978-5-91768-487-1</t>
  </si>
  <si>
    <t>40.03.01, 40.04.01, 41.03.01, 41.03.06, 44.03.05</t>
  </si>
  <si>
    <t>747742.06.01</t>
  </si>
  <si>
    <t>Нравственное государство. Рус. взгляд...: Моногр. / С.Н.Бабурин - М.:Юр. НОРМА, НИЦ ИНФРА-М,2026 - 536 с.(п)</t>
  </si>
  <si>
    <t>НРАВСТВЕННОЕ ГОСУДАРСТВО. РУССКИЙ ВЗГЛЯД НА ЦЕННОСТИ КОНСТИТУЦИОНАЛИЗМА</t>
  </si>
  <si>
    <t>978-5-00156-136-1</t>
  </si>
  <si>
    <t>356900.11.01</t>
  </si>
  <si>
    <t>Нравственные основания права: Монография / Г.В.Мальцев - М.:Юр.Норма, НИЦ ИНФРА-М,2025.-400 с.(П)</t>
  </si>
  <si>
    <t>НРАВСТВЕННЫЕ ОСНОВАНИЯ ПРАВА, ИЗД.2</t>
  </si>
  <si>
    <t>Мальцев Г.В.</t>
  </si>
  <si>
    <t>978-5-91768-614-1</t>
  </si>
  <si>
    <t>40.03.01, 40.04.01, 40.06.01, 44.03.05</t>
  </si>
  <si>
    <t>130000.06.01</t>
  </si>
  <si>
    <t>НРЭ: Т.10(1): Лонгчен Рабджам - Марокко / Ред.кол. А.Д.Некипелов-М.:Энц.,НИЦ ИНФРА-М,2019-480с.(п)</t>
  </si>
  <si>
    <t>НОВАЯ РОССИЙСКАЯ ЭНЦИКЛОПЕДИЯ: ТОМ 10(1): ЛОНГЧЕН РАБДЖАМ - МАРОККО</t>
  </si>
  <si>
    <t>Некипелов А.Д., Данилов-Данильян В.И.</t>
  </si>
  <si>
    <t>978-5-94802-045-7</t>
  </si>
  <si>
    <t>00.03.16, 00.05.16</t>
  </si>
  <si>
    <t>134000.07.01</t>
  </si>
  <si>
    <t>НРЭ: Т.12(1): Нитра - Орлеан / Ред. кол. Некипелов А.Д. и др. -М.:Энц., НИЦ ИНФРА-М,2019-480 с.(П</t>
  </si>
  <si>
    <t>НОВАЯ РОССИЙСКАЯ ЭНЦИКЛОПЕДИЯ: ТОМ 12(1): НИТРА-ОРЛЕАН, Т.12</t>
  </si>
  <si>
    <t>978-5-94802-053-2</t>
  </si>
  <si>
    <t>135000.02.01</t>
  </si>
  <si>
    <t>НРЭ: Т.12(2): Орлеанская- Пермь / Ред.кол. А.Д.Некипелов и др. - М.:Энц.,НИЦ ИНФРА-М,2015.-480 с.(п)</t>
  </si>
  <si>
    <t>НОВАЯ РОССИЙСКАЯ ЭНЦИКЛОПЕДИЯ: ТОМ 12(2): ОРЛЕАНСКАЯ- ПЕРМЬ</t>
  </si>
  <si>
    <t>978-5-94802-054-9</t>
  </si>
  <si>
    <t>183000.06.01</t>
  </si>
  <si>
    <t>НРЭ: Т.13(1): Пермяк - Португальские / Ред.кол. А.Д.Некипелов и др.-М.:Энц.,НИЦ ИНФРА-М,2019-480с(п)</t>
  </si>
  <si>
    <t>НОВАЯ РОССИЙСКАЯ ЭНЦИКЛОПЕДИЯ: ТОМ 13(1): ПЕРМЯК - ПОРТУГАЛЬСКИЕ, Т.13</t>
  </si>
  <si>
    <t>978-5-94802-055-6</t>
  </si>
  <si>
    <t>185000.06.01</t>
  </si>
  <si>
    <t>НРЭ: Т.13(2): Португальские - Рдест / Ред.кол. А.Д.Некипелов  и др.-М.:Энц.,НИЦ ИНФРА-М,2021-480с(п)</t>
  </si>
  <si>
    <t>НОВАЯ РОССИЙСКАЯ ЭНЦИКЛОПЕДИЯ: ТОМ 13(2): ПОРТУГАЛЬСКИЕ - РДЕСТ, Т.13</t>
  </si>
  <si>
    <t>978-5-94802-056-3</t>
  </si>
  <si>
    <t>186000.05.01</t>
  </si>
  <si>
    <t>НРЭ: Т.14(1): Ре - Рыкованов / Ред.кол. А.Д.Некипелов и др. - М.:НИЦ ИНФРА-М,Энц.,2019-480с.(п)</t>
  </si>
  <si>
    <t>НОВАЯ РОССИЙСКАЯ ЭНЦИКЛОПЕДИЯ: ТОМ 14(1): РЕ - РЫКОВАНОВ, Т.14</t>
  </si>
  <si>
    <t>978-5-94802-059-4</t>
  </si>
  <si>
    <t>187000.07.01</t>
  </si>
  <si>
    <t>НРЭ: Т.14(2): Рылеев-Сентиментализм / Ред.кол. Некипелов А.Д.-М.:Энц.,НИЦ ИНФРА-М,2021-480 с.(П)</t>
  </si>
  <si>
    <t>НОВАЯ РОССИЙСКАЯ ЭНЦИКЛОПЕДИЯ: ТОМ 14 (2): РЫЛЕЕВ-СЕНТИМЕНТАЛИЗМ, Т.14</t>
  </si>
  <si>
    <t>978-5-94802-060-0</t>
  </si>
  <si>
    <t>209000.08.01</t>
  </si>
  <si>
    <t>НРЭ: Т.15(1): Сент-Китс и Невис - Соединенные / Ред.кол. А.Д.Некипелов и др.-М.:Энц.,НИЦ ИНФРА-М,2021-496с(п)</t>
  </si>
  <si>
    <t>НОВАЯ РОССИЙСКАЯ ЭНЦИКЛОПЕДИЯ: ТОМ 15(1): СЕНТ-КИТС И НЕВИС - СОЕДИНЕННЫЕ</t>
  </si>
  <si>
    <t>978-5-94802-061-7</t>
  </si>
  <si>
    <t>236000.05.01</t>
  </si>
  <si>
    <t>НРЭ: Т.15(2): Соединительная - Сухой / Ред.кол.Некипелов А.Д. и др.-М.:НИЦ ИНФРА-М,Энц.,2019-496с(П)</t>
  </si>
  <si>
    <t>НОВАЯ РОССИЙСКАЯ ЭНЦИКЛОПЕДИЯ: ТОМ15(2): СОЕДИНИТЕЛЬНАЯ - СУХОЙ, Т.15</t>
  </si>
  <si>
    <t>978-5-94802-062-4</t>
  </si>
  <si>
    <t>237000.04.01</t>
  </si>
  <si>
    <t>НРЭ: Т.16(1): Сухо-Токо / Ред.кол. А.Д.Некипелов и др. - М.:Энц.,НИЦ ИНФРА-М,2019-495с.(П) [12+]</t>
  </si>
  <si>
    <t>НОВАЯ РОССИЙСКАЯ ЭНЦИКЛОПЕДИЯ: ТОМ 16(1): СУХО-ТОКО, Т.16</t>
  </si>
  <si>
    <t>978-5-94802-063-1</t>
  </si>
  <si>
    <t>238000.05.01</t>
  </si>
  <si>
    <t>НРЭ: Т.16(2): Токоферолы-Ульские / Ред.кол.А.Д. Некипелов и др. - М.:Энц.,НИЦ ИНФРА-М, 2021 -496с. (п)</t>
  </si>
  <si>
    <t>НОВАЯ РОССИЙСКАЯ ЭНЦИКЛОПЕДИЯ: ТОМ 16(2): ТОКОФЕРОЛЫ-УЛЬСКИЕ</t>
  </si>
  <si>
    <t>632540.07.01</t>
  </si>
  <si>
    <t>НРЭ: Т.17(1): Ультразвук - Франко-Прусская / Ред.кол. Некипелов А.Д. и др.-М.:Энц., НИЦ ИНФРА-М,2021 496с(п)</t>
  </si>
  <si>
    <t>НОВАЯ РОССИЙСКАЯ ЭНЦИКЛОПЕДИЯ: ТОМ 17(1): УЛЬТРАЗВУК - ФРАНКО-ПРУССКАЯ</t>
  </si>
  <si>
    <t>978-5-94802-068-6</t>
  </si>
  <si>
    <t>641433.07.01</t>
  </si>
  <si>
    <t>НРЭ: Т.17(2): Франц- Цзин / Ред.кол. Некипелов А.Д.и др. - М.:Энц.,НИЦ ИНФРА-М, 2021 -496с-(П)</t>
  </si>
  <si>
    <t>НОВАЯ РОССИЙСКАЯ ЭНЦИКЛОПЕДИЯ: ТОМ 17(2): ФРАНЦ- ЦЗИН</t>
  </si>
  <si>
    <t>Некипелов А.Д., Данилов-Данилъян В.И.</t>
  </si>
  <si>
    <t>Библиотека Новой Российской энциклопедии</t>
  </si>
  <si>
    <t>978-5-94802-073-0</t>
  </si>
  <si>
    <t>Общее образование</t>
  </si>
  <si>
    <t>653332.03.01</t>
  </si>
  <si>
    <t>НРЭ: Т.18(1): Цзинь-Швеция / Ред. кол. А.Д.Некипелов и др. -М.:Энц., НИЦ ИНФРА-М,2019.-512 с.(П) [12+]</t>
  </si>
  <si>
    <t>НОВАЯ РОССИЙСКАЯ ЭНЦИКЛОПЕДИЯ: ТОМ 18(1): ЦЗИНЬ-ШВЕЦИЯ, Т.18</t>
  </si>
  <si>
    <t>Переплет 7 + 1 тиснение + блинт</t>
  </si>
  <si>
    <t>978-5-94802-088-4</t>
  </si>
  <si>
    <t>659318.03.01</t>
  </si>
  <si>
    <t>НРЭ: Т.18(2): Швецов-Эмаль / Ред.кол. Некипелов А.Д. и др. -М.:Энц.,НИЦ ИНФРА-М,2019.-480 с.(П)</t>
  </si>
  <si>
    <t>НОВАЯ РОССИЙСКАЯ ЭНЦИКЛОПЕДИЯ: ТОМ 18(2): ШВЕЦОВ-ЭМАЛЬ</t>
  </si>
  <si>
    <t>Переплет 7 + 2 тиснение + блинт</t>
  </si>
  <si>
    <t>978-5-94802-097-6</t>
  </si>
  <si>
    <t>668019.02.01</t>
  </si>
  <si>
    <t>НРЭ: Т.19(1): Эмаль- Япет / Ред.кол. А.Д.Некипелов и др. - М.:Энц., НИЦ ИНФРА-М,2019 - 480 с.(П)</t>
  </si>
  <si>
    <t>НОВАЯ РОССИЙСКАЯ ЭНЦИКЛОПЕДИЯ: ТОМ 19(1): ЭМАЛЬ- ЯПЕТ</t>
  </si>
  <si>
    <t>978-5-94802-103-4</t>
  </si>
  <si>
    <t>681241.03.01</t>
  </si>
  <si>
    <t>НРЭ: Т.19(2): Япон- Ящур / Ред.кол. А.Д.Некипелов и др. - М.:Энц., НИЦ ИНФРА-М,2020 - 448 с.(П)</t>
  </si>
  <si>
    <t>НОВАЯ РОССИЙСКАЯ ЭНЦИКЛОПЕДИЯ: ТОМ 19(2): ЯПОН-ЯЩУР</t>
  </si>
  <si>
    <t>978-5-94802-104-1</t>
  </si>
  <si>
    <t>050007.08.01</t>
  </si>
  <si>
    <t>НРЭ: Т.5(2): Дардан - Дрейер / Ред.кол. Некипелов А.Д. и др. - М.:Энц.:ИНФРА-М,2018-480с.(п)</t>
  </si>
  <si>
    <t>НОВАЯ РОССИЙСКАЯ ЭНЦИКЛОПЕДИЯ: ТОМ 5(2): ДАРДАН - ДРЕЙЕР</t>
  </si>
  <si>
    <t>978-5-94802-030-3</t>
  </si>
  <si>
    <t>00.03.04, 00.03.05, 00.03.07, 00.03.10, 00.03.11, 00.03.12, 00.03.13, 00.05.04, 00.05.05, 00.05.07, 00.05.08, 00.05.10, 00.05.11, 00.05.12, 00.05.13</t>
  </si>
  <si>
    <t>822797.01.01</t>
  </si>
  <si>
    <t>О должн. лицах сис. МВД РФ, уполномоч. составл. протоколы об адм. правонар...- М.:НИЦ ИНФРА-М,2024.-16 с.(о)</t>
  </si>
  <si>
    <t>О ДОЛЖНОСТНЫХ ЛИЦАХ СИСТЕМЫ МИНИСТЕРСТВА ВНУТРЕННИХ ДЕЛ РОССИЙСКОЙ ФЕДЕРАЦИИ, УПОЛНОМОЧЕННЫХ СОСТАВЛЯТЬ ПРОТОКОЛЫ ОБ АДМИНИСТРАТИВНЫХ ПРАВОНАРУШЕНИЯХ И ОСУЩЕСТВЛЯТЬ АДМИНИСТРАТИВНОЕ ЗАДЕРЖАНИЕ</t>
  </si>
  <si>
    <t>978-5-16-019691-6</t>
  </si>
  <si>
    <t>40.02.02, 40.02.04, 40.03.01, 40.05.02, 40.05.04, 46.03.02</t>
  </si>
  <si>
    <t>780625.06.01</t>
  </si>
  <si>
    <t>О несении службы участковым уполномоченным полиции: инструкция - 2 изд. - М.:НИЦ ИНФРА-М,2025. - 62 с.(О)</t>
  </si>
  <si>
    <t>О НЕСЕНИИ СЛУЖБЫ УЧАСТКОВЫМ УПОЛНОМОЧЕННЫМ ПОЛИЦИИ НА ОБСЛУЖИВАЕМОМ АДМИНИСТРАТИВНОМ УЧАСТКЕ И ОРГАНИЗАЦИИ ЭТОЙ ДЕЯТЕЛЬНОСТИ, ИЗД.2</t>
  </si>
  <si>
    <t>978-5-16-019953-5</t>
  </si>
  <si>
    <t>10.05.05, 40.02.02, 40.02.04, 40.03.01, 40.05.01, 40.05.02, 40.05.03, 40.05.04</t>
  </si>
  <si>
    <t>780625.03.01</t>
  </si>
  <si>
    <t>О несении службы участковым уполномоченным полиции: инструкция - М.:НИЦ ИНФРА-М,2024.-61 с.(О)</t>
  </si>
  <si>
    <t>О НЕСЕНИИ СЛУЖБЫ УЧАСТКОВЫМ УПОЛНОМОЧЕННЫМ ПОЛИЦИИ НА ОБСЛУЖИВАЕМОМ АДМИНИСТРАТИВНОМ УЧАСТКЕ И ОРГАНИЗАЦИИ ЭТОЙ ДЕЯТЕЛЬНОСТИ</t>
  </si>
  <si>
    <t>978-5-16-017758-8</t>
  </si>
  <si>
    <t>778856.01.01</t>
  </si>
  <si>
    <t>О потенциале увеличения явки избирателей в Рос. и за рубежом/ Е.П.Мармилова-М.:НИЦ ИНФРА-М,2022.-191 с.(О)</t>
  </si>
  <si>
    <t>О ПОТЕНЦИАЛЕ УВЕЛИЧЕНИЯ ЯВКИ ИЗБИРАТЕЛЕЙ В РОССИИ И ЗА РУБЕЖОМ</t>
  </si>
  <si>
    <t>Мармилова Е.П., Кудряшова Е.В., Каширская Л.В. и др.</t>
  </si>
  <si>
    <t>978-5-16-017809-7</t>
  </si>
  <si>
    <t>40.05.01, 40.05.04, 41.04.04</t>
  </si>
  <si>
    <t>Национальный исследовательский университет "Высшая школа экономики", ф-л Санкт-Петербург</t>
  </si>
  <si>
    <t>054880.16.01</t>
  </si>
  <si>
    <t>О преступлениях и наказаниях: Моногр. / Ч.Беккариа - М.:НИЦ ИНФРА-М,2025 - 183 с.(Б-ка криминолога)(О)</t>
  </si>
  <si>
    <t>О ПРЕСТУПЛЕНИЯХ И НАКАЗАНИЯХ</t>
  </si>
  <si>
    <t>Беккариа Ч., Овчинский В.С.</t>
  </si>
  <si>
    <t>978-5-16-009740-4</t>
  </si>
  <si>
    <t>764759.04.01</t>
  </si>
  <si>
    <t>О службе в органах внутр. дел РФ и внесении изменений. ФЗ - М.:НИЦ ИНФРА-М,2023 - 142 с.(О)</t>
  </si>
  <si>
    <t>О СЛУЖБЕ В ОРГАНАХ ВНУТРЕННИХ ДЕЛ РОССИЙСКОЙ ФЕДЕРАЦИИ И ВНЕСЕНИИ ИЗМЕНЕНИЙ В ОТДЕЛЬНЫЕ ЗАКОНОДАТЕЛЬНЫЕ АКТЫ РОССИЙСКОЙ ФЕДЕРАЦИИ</t>
  </si>
  <si>
    <t>978-5-16-017169-2</t>
  </si>
  <si>
    <t>459600.04.01</t>
  </si>
  <si>
    <t>О Совете судебной власти РФ: Монография / М.И.Клеандров - М.:Юр.Норма, НИЦ ИНФРА-М,2019.-160 с.(п)</t>
  </si>
  <si>
    <t>О СОВЕТЕ СУДЕБНОЙ ВЛАСТИ РОССИЙСКОЙ ФЕДЕРАЦИИ</t>
  </si>
  <si>
    <t>978-5-91768-684-4</t>
  </si>
  <si>
    <t>788727.02.01</t>
  </si>
  <si>
    <t>О статусе военнослужащих - 2 изд. - М.:НИЦ ИНФРА-М,2024. - 124 с.-(Федеральные нормы и правила)(о)</t>
  </si>
  <si>
    <t>О СТАТУСЕ ВОЕННОСЛУЖАЩИХ: ФЕДЕРАЛЬНЫЙ ЗАКОН, ИЗД.2</t>
  </si>
  <si>
    <t>978-5-16-020295-2</t>
  </si>
  <si>
    <t>788727.01.01</t>
  </si>
  <si>
    <t>О статусе военнослужащих : ФЗ. -М.:НИЦ ИНФРА-М,2022.-115 с..-(Федеральные нормы и правила)(о)</t>
  </si>
  <si>
    <t>О СТАТУСЕ ВОЕННОСЛУЖАЩИХ: ФЕДЕРАЛЬНЫЙ ЗАКОН</t>
  </si>
  <si>
    <t>978-5-16-017927-8</t>
  </si>
  <si>
    <t>788727.04.01</t>
  </si>
  <si>
    <t>О статусе военнослужащих: ФЗ - 3 изд. - М.:НИЦ ИНФРА-М,2025. - 130 с.(Федеральные нормы и правила)(о)</t>
  </si>
  <si>
    <t>О СТАТУСЕ ВОЕННОСЛУЖАЩИХ: ФЕДЕРАЛЬНЫЙ ЗАКОН, ИЗД.3</t>
  </si>
  <si>
    <t>978-5-16-020872-5</t>
  </si>
  <si>
    <t>744091.03.01</t>
  </si>
  <si>
    <t>Об арбитраже (третейском разбирательстве) в РФ №382-ФЗ - М.:НИЦ ИНФРА-М,2022 - 60 с.(О)</t>
  </si>
  <si>
    <t>ОБ АРБИТРАЖЕ (ТРЕТЕЙСКОМ РАЗБИРАТЕЛЬСТВЕ) В РФ №382-ФЗ</t>
  </si>
  <si>
    <t>978-5-16-016481-6</t>
  </si>
  <si>
    <t>40.02.02, 40.03.01</t>
  </si>
  <si>
    <t>744114.03.01</t>
  </si>
  <si>
    <t>Об арбитражных судах в РФ №1-ФКЗ - М.:НИЦ ИНФРА-М,2022 - 40 с.(О)</t>
  </si>
  <si>
    <t>ОБ АРБИТРАЖНЫХ СУДАХ В РФ №1-ФКЗ</t>
  </si>
  <si>
    <t>978-5-16-016482-3</t>
  </si>
  <si>
    <t>754329.01.01</t>
  </si>
  <si>
    <t>Об обязательном гос. страховании жизни и здоровья военнослужащих, граждан... - М.:НИЦ ИНФРА-М,2021-16 с.(О)</t>
  </si>
  <si>
    <t>ОБ ОБЯЗАТЕЛЬНОМ ГОСУДАРСТВЕННОМ СТРАХОВАНИИ ЖИЗНИ И ЗДОРОВЬЯ ВОЕННОСЛУЖАЩИХ, ГРАЖДАН, ПРИЗВАННЫХ НА ВОЕННЫЕ СБОРЫ, ЛИЦ РЯДОВОГО И НАЧАЛЬСТВУЮЩЕГО СОСТАВА ОРГАНОВ ВНУТРЕННИХ ДЕЛ РФ</t>
  </si>
  <si>
    <t>978-5-16-016850-0</t>
  </si>
  <si>
    <t>39.03.02, 40.03.01</t>
  </si>
  <si>
    <t>764758.01.01</t>
  </si>
  <si>
    <t>Об учреждениях и органах, исполняющих уголов. наказ. в виде лиш. свободы - М.:НИЦ ИНФРА-М,2021 - 48 с.(О)</t>
  </si>
  <si>
    <t>ОБ УЧРЕЖДЕНИЯХ И ОРГАНАХ, ИСПОЛНЯЮЩИХ УГОЛОВНЫЕ НАКАЗАНИЯ В ВИДЕ ЛИШЕНИЯ СВОБОДЫ</t>
  </si>
  <si>
    <t>978-5-16-017170-8</t>
  </si>
  <si>
    <t>40.02.02, 40.03.01, 40.04.01, 40.05.02, 40.06.01, 56.05.01</t>
  </si>
  <si>
    <t>357600.03.01</t>
  </si>
  <si>
    <t>Обвинение и оправдание в постсовет. угол. юстиции / В.В.Волков-М.:Юр.Норма, НИЦ ИНФРА-М,2018.-320 с.</t>
  </si>
  <si>
    <t>ОБВИНЕНИЕ И ОПРАВДАНИЕ В ПОСТСОВЕТСКОЙ УГОЛОВНОЙ ЮСТИЦИИ</t>
  </si>
  <si>
    <t>Волков В.В.</t>
  </si>
  <si>
    <t>978-5-91768-620-2</t>
  </si>
  <si>
    <t>40.02.02, 40.02.04, 40.03.01, 40.06.01, 44.03.05</t>
  </si>
  <si>
    <t>Институт проблем правоприменения</t>
  </si>
  <si>
    <t>689438.02.01</t>
  </si>
  <si>
    <t>Обеспечение долгов.рабочих органов почвообр.машин: Моногр./ В.С.Новиков-М:НИЦ ИНФРА-М,2018-155с(О)</t>
  </si>
  <si>
    <t>ОБЕСПЕЧЕНИЕ ДОЛГОВЕЧНОСТИ  РАБОЧИХ ОРГАНОВ ПОЧВООБРАБАТЫВАЮЩИХ МАШИН</t>
  </si>
  <si>
    <t>Новиков В.С.</t>
  </si>
  <si>
    <t>978-5-16-014351-4</t>
  </si>
  <si>
    <t>35.04.06</t>
  </si>
  <si>
    <t>797754.04.01</t>
  </si>
  <si>
    <t>Обеспечение информац. безопас. в сети Интернет: Моногр. / А.А.Максуров-М.:НИЦ ИНФРА-М,2025.-226 с.(п)</t>
  </si>
  <si>
    <t>ОБЕСПЕЧЕНИЕ ИНФОРМАЦИОННОЙ БЕЗОПАСНОСТИ В СЕТИ ИНТЕРНЕТ</t>
  </si>
  <si>
    <t>978-5-16-018251-3</t>
  </si>
  <si>
    <t>10.04.01, 10.05.01, 10.05.02, 10.05.03, 10.05.04, 10.05.05, 10.05.07, 10.06.01, 40.04.01, 40.05.01, 40.05.02, 40.06.01</t>
  </si>
  <si>
    <t>656395.09.01</t>
  </si>
  <si>
    <t>Обеспечение прав авторов лит. произв.: Моногр. / Т.Г.Макаров - М.:НИЦ ИНФРА-М,2026. - 85 с.(Науч.мысль)(О)</t>
  </si>
  <si>
    <t>ОБЕСПЕЧЕНИЕ ПРАВ АВТОРОВ ЛИТЕРАТУРНЫХ ПРОИЗВЕДЕНИЙ</t>
  </si>
  <si>
    <t>Макаров Т.Г.</t>
  </si>
  <si>
    <t>978-5-16-012764-4</t>
  </si>
  <si>
    <t>656188.04.01</t>
  </si>
  <si>
    <t>Обеспечение точности мех. обработки крупногабар.:Моногр. / А.А.Погонин-М.:НИЦ ИНФРА-М,2024-184с(П)</t>
  </si>
  <si>
    <t>ОБЕСПЕЧЕНИЕ ТОЧНОСТИ МЕХАНИЧЕСКОЙ ОБРАБОТКИ КРУПНОГАБАРИТНЫХ ДЕТАЛЕЙ ВО ВРЕМЯ РАБОТЫ С ИСПОЛЬЗОВАНИЕМ ПРИСТАВНЫХ СТАНКОВ</t>
  </si>
  <si>
    <t>Погонин А.А., Афанасьев А.А.</t>
  </si>
  <si>
    <t>978-5-16-012968-6</t>
  </si>
  <si>
    <t>15.03.01, 15.03.05</t>
  </si>
  <si>
    <t>790150.02.01</t>
  </si>
  <si>
    <t>Обеспечение экологич. безопас. природно-технич. сис... / Т.В.Иванкова-М.: ИНФРА-М, 2023. — 171 с.(О)</t>
  </si>
  <si>
    <t>ОБЕСПЕЧЕНИЕ ЭКОЛОГИЧЕСКОЙ БЕЗОПАСНОСТИ ПРИРОДНО-ТЕХНИЧЕСКИХ СИСТЕМ БАССЕЙНОВ МАЛЫХ РЕК В УСЛОВИЯХ КРЫМСКОГО ПОЛУОСТРОВА</t>
  </si>
  <si>
    <t>Иванкова Т.В.</t>
  </si>
  <si>
    <t>978-5-16-018006-9</t>
  </si>
  <si>
    <t>05.04.02, 05.04.05, 05.04.06, 05.06.01</t>
  </si>
  <si>
    <t>Институт безопасности гидротехнических сооружений</t>
  </si>
  <si>
    <t>800600.01.01</t>
  </si>
  <si>
    <t>Обеспечение экон. безопасности в кредитно-фин. сфере: Моногр. / Н.Г.Гаджиев-М.:НИЦ ИНФРА-М,2024-237 с.(п)</t>
  </si>
  <si>
    <t>ОБЕСПЕЧЕНИЕ ЭКОНОМИЧЕСКОЙ БЕЗОПАСНОСТИ В КРЕДИТНО-ФИНАНСОВОЙ СФЕРЕ</t>
  </si>
  <si>
    <t>Гаджиев Н.Г., Коноваленко С.А., Трофимов М.Н. и др.</t>
  </si>
  <si>
    <t>978-5-16-018384-8</t>
  </si>
  <si>
    <t>10.05.04, 10.06.01, 38.04.01, 38.05.01, 38.05.02, 38.06.01, 40.05.01, 40.06.01</t>
  </si>
  <si>
    <t>Дагестанский государственный университет</t>
  </si>
  <si>
    <t>782715.04.01</t>
  </si>
  <si>
    <t>Обеспечение экономич. безопас. территорий и... / Под ред. Кожевиной О.В.-М.:НИЦ ИНФРА-М,2024.-286 с.(п)</t>
  </si>
  <si>
    <t>ОБЕСПЕЧЕНИЕ ЭКОНОМИЧЕСКОЙ БЕЗОПАСНОСТИ ТЕРРИТОРИЙ И ИНСТРУМЕНТЫ УСТОЙЧИВОГО РАЗВИТИЯ «ЗЕЛЕНОГО» ПРЕДПРИНИМАТЕЛЬСТВА</t>
  </si>
  <si>
    <t>Беляевская-Плотник Л.А., Кожевина О.В., Ряховская А.Н. и др.</t>
  </si>
  <si>
    <t>978-5-16-017990-2</t>
  </si>
  <si>
    <t>824424.01.01</t>
  </si>
  <si>
    <t>Обеспечительные меры в международном гражд. процессе: Моногр. / А.А.Максуров - М.:НИЦ ИНФРА-М,2025. - 272 с.(п)</t>
  </si>
  <si>
    <t>ОБЕСПЕЧИТЕЛЬНЫЕ МЕРЫ В МЕЖДУНАРОДНОМ ГРАЖДАНСКОМ ПРОЦЕССЕ</t>
  </si>
  <si>
    <t>978-5-16-019875-0</t>
  </si>
  <si>
    <t>399700.11.01</t>
  </si>
  <si>
    <t>Обеспыливание воздуха в промыш.: методы и средства: Моногр. / В.Т.Самсонов - М.:НИЦ ИНФРА-М,2026. - 234 с.(О)</t>
  </si>
  <si>
    <t>ОБЕСПЫЛИВАНИЕ ВОЗДУХА В ПРОМЫШЛЕННОСТИ: МЕТОДЫ И СРЕДСТВА</t>
  </si>
  <si>
    <t>978-5-16-011283-1</t>
  </si>
  <si>
    <t>08.02.13, 08.03.01, 08.04.01, 08.05.01, 18.03.01</t>
  </si>
  <si>
    <t>794840.01.01</t>
  </si>
  <si>
    <t>Обмен железа при ВИЧ-ассоциированных заболеваниях легких.../ Е.А.Бородулина-М.:НИЦ ИНФРА-М,2023.-155 с.(о)</t>
  </si>
  <si>
    <t>ОБМЕН ЖЕЛЕЗА ПРИ ВИЧ-АССОЦИИРОВАННЫХ ЗАБОЛЕВАНИЯХ ЛЕГКИХ - ДИССЕМИНИРОВАННОМ ТУБЕРКУЛЕЗЕ И ПНЕВМОЦИСТНОЙ ПНЕВМОНИИ</t>
  </si>
  <si>
    <t>Бородулина Е.А., Яковлева Е.В., Бородулин Б.Е.</t>
  </si>
  <si>
    <t>978-5-16-018227-8</t>
  </si>
  <si>
    <t>664184.03.01</t>
  </si>
  <si>
    <t>Обобщенная матем. модель пространств. перемещ. бурового судна / В.А.Крамарь-М.:Вуз.уч.,НИЦ ИНФРА-М,2023.-118с</t>
  </si>
  <si>
    <t>ОБОБЩЕННАЯ МАТЕМАТИЧЕСКАЯ МОДЕЛЬ ПРОСТРАНСТВЕННОГО ПЕРЕМЕЩЕНИЯ БУРОВОГО СУДНА</t>
  </si>
  <si>
    <t>Крамарь В.А., Душко В.Р., Душко В.В.</t>
  </si>
  <si>
    <t>978-5-9558-0591-7</t>
  </si>
  <si>
    <t>15.03.04, 15.03.05, 15.04.04, 15.04.05</t>
  </si>
  <si>
    <t>800923.01.01</t>
  </si>
  <si>
    <t>Обобщенные мод. флотации и разраб. флото-, эко- и..: Моногр. /Б.С.Ксенофонтов-М.: ИНФРА-М,2023.-224с.(П)</t>
  </si>
  <si>
    <t>ОБОБЩЕННЫЕ МОДЕЛИ ФЛОТАЦИИ И РАЗРАБОТКА ФЛОТО-, ЭКО- И ЦИКЛОКОМБАЙНОВ ТИПА КБС НА ОСНОВЕ ПРИНЦИПОВ БИОПОДОБИЯ</t>
  </si>
  <si>
    <t>978-5-16-018341-1</t>
  </si>
  <si>
    <t>18.03.02, 20.03.01, 20.03.02, 20.04.02, 20.06.01</t>
  </si>
  <si>
    <t>766454.04.01</t>
  </si>
  <si>
    <t>Обоснование техн. открытой разработ. мощных пологозалегающих угол. пластов / С.А.Бобров - М.:НИЦ ИНФРА-М, СФУ,2025. - 155 с.(О)</t>
  </si>
  <si>
    <t>ОБОСНОВАНИЕ ТЕХНОЛОГИИ ОТКРЫТОЙ РАЗРАБОТКИ МОЩНЫХ ПОЛОГОЗАЛЕГАЮЩИХ УГОЛЬНЫХ ПЛАСТОВ</t>
  </si>
  <si>
    <t>Бобров С.А., Кисляков В.Е.</t>
  </si>
  <si>
    <t>978-5-16-017284-2</t>
  </si>
  <si>
    <t>21.05.04, 21.06.01</t>
  </si>
  <si>
    <t>222400.07.01</t>
  </si>
  <si>
    <t>Обработка почвы как фактор регулир. почвен..: Моногр. / А.Ф.Витер - ИНФРА-М, 2023 - 173 с.(Науч.мысль)(о)</t>
  </si>
  <si>
    <t>ОБРАБОТКА ПОЧВЫ КАК ФАКТОР РЕГУЛИРОВАНИЯ ПОЧВЕННОГО ПЛОДОРОДИЯ</t>
  </si>
  <si>
    <t>Витер А. Ф., Турусов В. И., Гармашов В. М., Гаврилова С. А.</t>
  </si>
  <si>
    <t>978-5-16-008982-9</t>
  </si>
  <si>
    <t>05.03.06, 06.03.01, 06.03.02, 20.03.02, 35.03.01, 35.03.03, 35.03.05, 35.03.10, 35.04.03</t>
  </si>
  <si>
    <t>Научно-Исследовательский Институт сельского хозяйства центрально-черноземной полосы имени В.В.Докуча</t>
  </si>
  <si>
    <t>708168.02.01</t>
  </si>
  <si>
    <t>Образ жизни и проф. факторы риска здоровью педагога: Моногр. / Е.А.Багнетова, - 2 изд.-М.:НИЦ ИНФРА-М,2023.-100с(О)</t>
  </si>
  <si>
    <t>ОБРАЗ ЖИЗНИ И ПРОФЕССИОНАЛЬНЫЕ ФАКТОРЫ РИСКА ЗДОРОВЬЮ ПЕДАГОГА, ИЗД.2</t>
  </si>
  <si>
    <t>Багнетова Е.А.</t>
  </si>
  <si>
    <t>978-5-16-015359-9</t>
  </si>
  <si>
    <t>Сургутский государственный педагогический университет</t>
  </si>
  <si>
    <t>786186.03.01</t>
  </si>
  <si>
    <t>Образ США в советской прессе периода «оттепели» (1956-1964) / И.Н.Лопаткин - М.:НИЦ ИНФРА-М,2026. - 202 с.(о)</t>
  </si>
  <si>
    <t>ОБРАЗ США В СОВЕТСКОЙ ПРЕССЕ ПЕРИОДА «ОТТЕПЕЛИ» (1956-1964)</t>
  </si>
  <si>
    <t>Лопаткин И.Н., Хисамутдинова Р.Р.</t>
  </si>
  <si>
    <t>978-5-16-017938-4</t>
  </si>
  <si>
    <t>41.04.05, 41.06.01, 42.06.01, 46.04.01, 46.06.01</t>
  </si>
  <si>
    <t>Оренбургское президентское кадетское училище</t>
  </si>
  <si>
    <t>808796.01.01</t>
  </si>
  <si>
    <t>Образовательная миграция в РФ: роль в развит. сис..: Моногр. / Т.В.Лебедева-М.:НИЦ ИНФРА-М,2024.-188 с.(о)</t>
  </si>
  <si>
    <t>ОБРАЗОВАТЕЛЬНАЯ МИГРАЦИЯ В РОССИЙСКУЮ ФЕДЕРАЦИЮ: РОЛЬ В РАЗВИТИИ СИСТЕМЫ ВЫСШЕГО ОБРАЗОВАНИЯ</t>
  </si>
  <si>
    <t>Лебедева Т.В.</t>
  </si>
  <si>
    <t>978-5-16-019096-9</t>
  </si>
  <si>
    <t>38.04.04</t>
  </si>
  <si>
    <t>Московский государственный университет им. М.В. Ломоносова, Высшая школа современных социальных наук</t>
  </si>
  <si>
    <t>703564.05.01</t>
  </si>
  <si>
    <t>Образовательная програм. как инструмент сис. управ...: Моногр. / М.С.Логачев. - М.:НИЦ ИНФРА-М,2025 - 166 с.(О)</t>
  </si>
  <si>
    <t>ОБРАЗОВАТЕЛЬНАЯ ПРОГРАММА КАК ИНСТРУМЕНТ СИСТЕМЫ УПРАВЛЕНИЯ КАЧЕСТВОМ ПРОФЕССИОНАЛЬНОГО ОБРАЗОВАНИЯ</t>
  </si>
  <si>
    <t>Логачев М.С., Ткачева Г.В., Самарин Ю.Н.</t>
  </si>
  <si>
    <t>978-5-16-014934-9</t>
  </si>
  <si>
    <t>684972.01.01</t>
  </si>
  <si>
    <t>Образовательная яз. политика в совр. мире: Моногр. Т.1 / М.А.Марусенко-М.:НИЦ ИНФРА-М,2024.-387 с.(п)</t>
  </si>
  <si>
    <t>ОБРАЗОВАТЕЛЬНАЯ ЯЗЫКОВАЯ ПОЛИТИКА В СОВРЕМЕННОМ МИРЕ, Т.1</t>
  </si>
  <si>
    <t>978-5-16-018263-6</t>
  </si>
  <si>
    <t>44.04.01, 45.04.01, 45.06.01</t>
  </si>
  <si>
    <t>799314.02.01</t>
  </si>
  <si>
    <t>Образовательная яз. политика в совр. мире: Т.2: Моногр. / М.А.Марусенко-М.:НИЦ ИНФРА-М,2025.-330 с.(п)</t>
  </si>
  <si>
    <t>ОБРАЗОВАТЕЛЬНАЯ ЯЗЫКОВАЯ ПОЛИТИКА В СОВРЕМЕННОМ МИРЕ, Т.2</t>
  </si>
  <si>
    <t>978-5-16-018372-5</t>
  </si>
  <si>
    <t>44.04.01, 44.06.01, 45.04.02, 45.06.01</t>
  </si>
  <si>
    <t>825172.03.01</t>
  </si>
  <si>
    <t>Образовательный и технологич. сувер. России: Моногр. / Под ред. Ручкиной Г.Ф. - М.:НИЦ ИНФРА-М,2026 - 199 с.(п)</t>
  </si>
  <si>
    <t>ОБРАЗОВАТЕЛЬНЫЙ И ТЕХНОЛОГИЧЕСКИЙ СУВЕРЕНИТЕТ РОССИИ</t>
  </si>
  <si>
    <t>Ручкина Г.Ф., Попова А.В., Горохова С.С. и др.</t>
  </si>
  <si>
    <t>978-5-16-019858-3</t>
  </si>
  <si>
    <t>849965.01.01</t>
  </si>
  <si>
    <t>Образовательный потенциал языковых дисциплин в вузах ФСИН России / Т.Е.Алексеева. - М.:НИЦ ИНФРА-М,2025. - 213 с.(о)</t>
  </si>
  <si>
    <t>ОБРАЗОВАТЕЛЬНЫЙ ПОТЕНЦИАЛ ЯЗЫКОВЫХ ДИСЦИПЛИН В ВУЗАХ ФСИН РОССИИ</t>
  </si>
  <si>
    <t>Алексеева Т.Е., Андреева Г.Б., Буробина С.В. и др.</t>
  </si>
  <si>
    <t>978-5-16-021087-2</t>
  </si>
  <si>
    <t>44.06.01</t>
  </si>
  <si>
    <t>796950.01.01</t>
  </si>
  <si>
    <t>Образы новой реальности...: Моногр./ А.Г.Грязнова-М.:НИЦ ИНФРА-М,2024.-365 с.(Науч.мысль - Фин. ун.)(п)</t>
  </si>
  <si>
    <t>ОБРАЗЫ НОВОЙ РЕАЛЬНОСТИ: ТЕНДЕНЦИИ И ПЕРСПЕКТИВЫ ИСТОРИЧЕСКОГО РАЗВИТИЯ</t>
  </si>
  <si>
    <t>Аракелян С.М., Артеменко Д.А., Бондаренко В.М. и др.</t>
  </si>
  <si>
    <t>978-5-16-018582-8</t>
  </si>
  <si>
    <t>38.03.01, 38.03.02, 38.04.01, 38.04.02, 39.03.01, 46.03.01</t>
  </si>
  <si>
    <t>775776.01.01</t>
  </si>
  <si>
    <t>Обретение книги: Марсель Пруст...: Моногр. / А.Н.Таганов-М.:НИЦ ИНФРА-М,2022.-271 с.(Науч.мысль)(О)</t>
  </si>
  <si>
    <t>ОБРЕТЕНИЕ КНИГИ: МАРСЕЛЬ ПРУСТ В ПОИСКАХ УТРАЧЕННОГО ВРЕМЕНИ</t>
  </si>
  <si>
    <t>Таганов А.Н.</t>
  </si>
  <si>
    <t>978-5-16-017625-3</t>
  </si>
  <si>
    <t>44.03.05, 45.04.01, 45.06.01</t>
  </si>
  <si>
    <t>684820.02.01</t>
  </si>
  <si>
    <t>Обтурационная опухолевая толстокишечная непроход.: Моногр./ А.В.Пугаев-М.:НИЦ ИНФРА-М,2023-202 с.(П)</t>
  </si>
  <si>
    <t>ОБТУРАЦИОННАЯ ОПУХОЛЕВАЯ ТОЛСТОКИШЕЧНАЯ НЕПРОХОДИМОСТЬ</t>
  </si>
  <si>
    <t>Пугаев А.В., Ачкасов Е.Е.</t>
  </si>
  <si>
    <t>978-5-16-014222-7</t>
  </si>
  <si>
    <t>800533.01.01</t>
  </si>
  <si>
    <t>Обучение в вузе в совр. условиях: взгляд психолога: Моногр. / Е.В.Сухова-М.:НИЦ ИНФРА-М,2024.-195 с(о)</t>
  </si>
  <si>
    <t>ОБУЧЕНИЕ В ВУЗЕ В СОВРЕМЕННЫХ УСЛОВИЯХ: ВЗГЛЯД ПСИХОЛОГА</t>
  </si>
  <si>
    <t>Сухова Е.В.</t>
  </si>
  <si>
    <t>978-5-16-018383-1</t>
  </si>
  <si>
    <t>Медицинский университет "Реавиз"</t>
  </si>
  <si>
    <t>800886.01.01</t>
  </si>
  <si>
    <t>Обучение иностранным языкам и метод. творчество учителя: Моногр. / Н.В.Барышников-М.:НИЦ ИНФРА-М,2024.-187 с.(о)</t>
  </si>
  <si>
    <t>ОБУЧЕНИЕ ИНОСТРАННЫМ ЯЗЫКАМ И МЕТОДИЧЕСКОЕ ТВОРЧЕСТВО УЧИТЕЛЯ</t>
  </si>
  <si>
    <t>Барышников Н.В.</t>
  </si>
  <si>
    <t>978-5-16-018382-4</t>
  </si>
  <si>
    <t>44.04.01, 44.04.02, 44.04.04, 44.06.01</t>
  </si>
  <si>
    <t>Пятигорский государственный университет</t>
  </si>
  <si>
    <t>847267.01.01</t>
  </si>
  <si>
    <t>Обучение реш. текстовых арифметич. задач млад. шк..: Моногр. / И.М.Яковлева - М.:НИЦ ИНФРА-М,2025. - 181 с.(о)</t>
  </si>
  <si>
    <t>ОБУЧЕНИЕ РЕШЕНИЮ ТЕКСТОВЫХ АРИФМЕТИЧЕСКИХ ЗАДАЧ МЛАДШИХ ШКОЛЬНИКОВ С УМСТВЕННОЙ ОТСТАЛОСТЬЮ (ИНТЕЛЛЕКТУАЛЬНЫМИ НАРУШЕНИЯМИ)</t>
  </si>
  <si>
    <t>Яковлева И.М., Скира Е.В.</t>
  </si>
  <si>
    <t>978-5-16-020635-6</t>
  </si>
  <si>
    <t>44.04.03, 44.06.01</t>
  </si>
  <si>
    <t>777499.04.01</t>
  </si>
  <si>
    <t>Обучение рус. яз. и развитие метапредметных умений...: Моногр. / А.Г.Биба - М.:НИЦ ИНФРА-М,2025 - 160 с.(О)</t>
  </si>
  <si>
    <t>ОБУЧЕНИЕ РУССКОМУ ЯЗЫКУ И РАЗВИТИЕ МЕТАПРЕДМЕТНЫХ УМЕНИЙ УЧАЩИХСЯ В КЛАССАХ ИНКЛЮЗИВНОГО НАЧАЛЬНОГО ОБРАЗОВАНИЯ</t>
  </si>
  <si>
    <t>Биба А.Г.</t>
  </si>
  <si>
    <t>978-5-16-017740-3</t>
  </si>
  <si>
    <t>40.05.02, 40.05.04, 44.03.01, 44.03.05, 44.04.03, 44.06.01</t>
  </si>
  <si>
    <t>296000.05.01</t>
  </si>
  <si>
    <t>Общая геология: твиты о Земле / Н.В.Короновский - М.:НИЦ ИНФРА-М,2020 - 154 с.(О)</t>
  </si>
  <si>
    <t>ОБЩАЯ ГЕОЛОГИЯ: ТВИТЫ О ЗЕМЛЕ</t>
  </si>
  <si>
    <t>Короновский Н.В.</t>
  </si>
  <si>
    <t>978-5-16-011823-9</t>
  </si>
  <si>
    <t>Твитбук</t>
  </si>
  <si>
    <t>05.03.01</t>
  </si>
  <si>
    <t>644458.06.01</t>
  </si>
  <si>
    <t>Общая геополитика. Вопросы теории...: Моногр. / А.Б.Елацков - М.:НИЦ ИНФРА-М,2022 - 251 с.(Науч.мысль)(О)</t>
  </si>
  <si>
    <t>ОБЩАЯ ГЕОПОЛИТИКА. ВОПРОСЫ ТЕОРИИ И МЕТОДОЛОГИИ В ГЕОГРАФИЧЕСКОЙ ИНТЕРПРЕТАЦИИ</t>
  </si>
  <si>
    <t>Елацков А.Б.</t>
  </si>
  <si>
    <t>978-5-16-017478-5</t>
  </si>
  <si>
    <t>41.03.04, 41.03.06, 41.04.04</t>
  </si>
  <si>
    <t>644458.07.01</t>
  </si>
  <si>
    <t>Общая геополитика. Вопросы теории...: Моногр. / А.Б.Елацков, - 2 изд.-М.:НИЦ ИНФРА-М,2025.-264 с.(п)</t>
  </si>
  <si>
    <t>ОБЩАЯ ГЕОПОЛИТИКА. ВОПРОСЫ ТЕОРИИ И МЕТОДОЛОГИИ В ГЕОГРАФИЧЕСКОЙ ИНТЕРПРЕТАЦИИ, ИЗД.2</t>
  </si>
  <si>
    <t>978-5-16-018614-6</t>
  </si>
  <si>
    <t>693939.07.01</t>
  </si>
  <si>
    <t>Общая теория гос. и права: предмет..: Моногр. / Д.А.Керимов - М.:Юр.Норма, НИЦ ИНФРА-М,2026 - 136 с.(П)</t>
  </si>
  <si>
    <t>ОБЩАЯ ТЕОРИЯ ГОСУДАРСТВА И ПРАВА: ПРЕДМЕТ, СТРУКТУРА, ФУНКЦИИ</t>
  </si>
  <si>
    <t>978-5-91768-967-8</t>
  </si>
  <si>
    <t>342600.03.01</t>
  </si>
  <si>
    <t>Общая теория измерений: монография / Д.Д.Грибанов-М.:НИЦ ИНФРА-М,2018.-116 с..-(Науч.мысль)(О. КБС)</t>
  </si>
  <si>
    <t>ОБЩАЯ ТЕОРИЯ ИЗМЕРЕНИЙ</t>
  </si>
  <si>
    <t>Д.Д.Грибанов</t>
  </si>
  <si>
    <t>978-5-16-010766-0</t>
  </si>
  <si>
    <t>11.03.03, 11.03.04, 12.03.04, 16.03.01, 27.03.01, 27.04.01, 28.03.01, 28.03.02</t>
  </si>
  <si>
    <t>750688.01.01</t>
  </si>
  <si>
    <t>Общая теория права в связи с аксиологией ценностей/ А.Г.Чернявский-М.:НИЦ ИНФРА-М,2021.-367 с.(Науч.мысль)(О)</t>
  </si>
  <si>
    <t>ОБЩАЯ ТЕОРИЯ ПРАВА В СВЯЗИ С АКСИОЛОГИЕЙ ЦЕННОСТЕЙ</t>
  </si>
  <si>
    <t>978-5-16-016914-9</t>
  </si>
  <si>
    <t>38.03.04, 38.04.04, 40.03.01, 40.04.01, 40.05.01, 40.05.02, 40.05.03, 40.05.04, 40.06.01, 41.03.01, 41.03.06, 44.03.05</t>
  </si>
  <si>
    <t>088700.08.01</t>
  </si>
  <si>
    <t>Общая теория правового положения личности: Моногр. / Н.В.Витрук - М.:Юр.Норма, НИЦ ИНФРА-М,2026 - 448 с.(П)</t>
  </si>
  <si>
    <t>ОБЩАЯ ТЕОРИЯ ПРАВОВОГО ПОЛОЖЕНИЯ ЛИЧНОСТИ</t>
  </si>
  <si>
    <t>Витрук Н. В.</t>
  </si>
  <si>
    <t>978-5-91768-807-7</t>
  </si>
  <si>
    <t>117750.10.01</t>
  </si>
  <si>
    <t>Общая теория юрид. ответств.: Моногр. / Н.В.Витрук  - 2 изд.  - М.:Юр.Норма, НИЦ ИНФРА-М,2026  -  432 с.(П)</t>
  </si>
  <si>
    <t>ОБЩАЯ ТЕОРИЯ ЮРИДИЧЕСКОЙ ОТВЕТСТВЕННОСТИ, ИЗД.2</t>
  </si>
  <si>
    <t>978-5-91768-033-0</t>
  </si>
  <si>
    <t>063346.11.01</t>
  </si>
  <si>
    <t>Общая экология: Курс лекций / В.В.Маврищев - 3 изд. - М.:НИЦ ИНФРА-М,2025 - 299 с.(ВО)(п)</t>
  </si>
  <si>
    <t>ОБЩАЯ ЭКОЛОГИЯ, ИЗД.3</t>
  </si>
  <si>
    <t>Маврищев В. В.</t>
  </si>
  <si>
    <t>978-5-16-004684-6</t>
  </si>
  <si>
    <t>00.03.12, 00.05.12</t>
  </si>
  <si>
    <t>0311</t>
  </si>
  <si>
    <t>654694.15.01</t>
  </si>
  <si>
    <t>Общевоинские уставы Вооруженных сил РФ: Сб. док, - 7 изд.-М.:НИЦ ИНФРА-М,2024.-717 с.(П)</t>
  </si>
  <si>
    <t>ОБЩЕВОИНСКИЕ УСТАВЫ ВООРУЖЕННЫХ СИЛ РФ, ИЗД.7</t>
  </si>
  <si>
    <t>978-5-16-018426-5</t>
  </si>
  <si>
    <t>56.04.01, 56.04.02, 56.04.03, 56.04.04, 56.04.05, 56.04.06, 56.04.07, 56.04.08, 56.04.09, 56.04.10, 56.04.11, 56.04.12, 56.05.01, 56.05.02, 56.05.03, 56.05.04</t>
  </si>
  <si>
    <t>0723</t>
  </si>
  <si>
    <t>654694.17.01</t>
  </si>
  <si>
    <t>Общевоинские уставы Вооруженных сил РФ: Сб. док, - 8 изд. - М.:НИЦ ИНФРА-М,2025. - 724 с.(П)</t>
  </si>
  <si>
    <t>ОБЩЕВОИНСКИЕ УСТАВЫ ВООРУЖЕННЫХ СИЛ РФ, ИЗД.8</t>
  </si>
  <si>
    <t>978-5-16-019939-9</t>
  </si>
  <si>
    <t>654694.18.01</t>
  </si>
  <si>
    <t>Общевоинские уставы Вооруженных сил РФ: Сб. док. - 9 изд. - М.:НИЦ ИНФРА-М,2026. - 726 с.(п)</t>
  </si>
  <si>
    <t>ОБЩЕВОИНСКИЕ УСТАВЫ ВООРУЖЕННЫХ СИЛ РОССИЙСКОЙ ФЕДЕРАЦИИ, ИЗД.9</t>
  </si>
  <si>
    <t>978-5-16-021503-7</t>
  </si>
  <si>
    <t>0926</t>
  </si>
  <si>
    <t>654694.08.01</t>
  </si>
  <si>
    <t>Общевоинские уставы Вооруженных сил РФ: Сб. документов - 5 изд. - М.:НИЦ ИНФРА-М,2021 - 717 с.(П)</t>
  </si>
  <si>
    <t>ОБЩЕВОИНСКИЕ УСТАВЫ ВООРУЖЕННЫХ СИЛ РФ, ИЗД.5</t>
  </si>
  <si>
    <t>978-5-16-017009-1</t>
  </si>
  <si>
    <t>654694.02.01</t>
  </si>
  <si>
    <t>Общевоинские уставы Вооруженных сил РФ: Сборник документов - М.:НИЦ ИНФРА-М,2017 - 696 с.(П)</t>
  </si>
  <si>
    <t>ОБЩЕВОИНСКИЕ УСТАВЫ ВООРУЖЕННЫХ СИЛ РФ</t>
  </si>
  <si>
    <t>978-5-16-012687-6</t>
  </si>
  <si>
    <t>706845.02.01</t>
  </si>
  <si>
    <t>Общее учение о правовом порядке. Восхожд. прав...: Моногр./ Н.Н.Черногор-М.:НИЦ ИНФРА-М,2023-348с(П)</t>
  </si>
  <si>
    <t>ОБЩЕЕ УЧЕНИЕ О ПРАВОВОМ ПОРЯДКЕ. ВОСХОЖДЕНИЕ ПРАВОПОРЯДКА</t>
  </si>
  <si>
    <t>Черногор Н.Н., Пашенцев Д.А., Залоило М.В. и др.</t>
  </si>
  <si>
    <t>978-5-16-015125-0</t>
  </si>
  <si>
    <t>398800.08.01</t>
  </si>
  <si>
    <t>Общение с природой начинается с детства: Моногр. / С.Н.Николаева, - 2 изд. - М.:НИЦ ИНФРА-М,2025 - 216 с.(О)</t>
  </si>
  <si>
    <t>ОБЩЕНИЕ С ПРИРОДОЙ НАЧИНАЕТСЯ С ДЕТСТВА, ИЗД.2</t>
  </si>
  <si>
    <t>Николаева С.Н.</t>
  </si>
  <si>
    <t>978-5-16-011274-9</t>
  </si>
  <si>
    <t>44.03.02, 44.03.03, 44.03.04, 44.03.05, 44.04.01, 44.04.02, 44.04.03, 44.04.04, 44.05.01</t>
  </si>
  <si>
    <t>734555.04.01</t>
  </si>
  <si>
    <t>Общепризнанные принципы и нормы международ. права: Моногр. / А.А.Максуров-М.:НИЦ ИНФРА-М,2024.-189 с(О)</t>
  </si>
  <si>
    <t>ОБЩЕПРИЗНАННЫЕ ПРИНЦИПЫ И НОРМЫ МЕЖДУНАРОДНОГО ПРАВА: ПОНЯТИЕ И ПРОБЛЕМЫ ПРИМЕНЕНИЯ В РОССИЙСКОЙ ФЕДЕРАЦИИ</t>
  </si>
  <si>
    <t>978-5-16-016219-5</t>
  </si>
  <si>
    <t>862884.01.01</t>
  </si>
  <si>
    <t>Общероссийский классификатор проф. рабочих, должностей...ОК 016-2025 - М.:НИЦ ИНФРА-М,2026. - 386 с.(п)</t>
  </si>
  <si>
    <t>ОБЩЕРОССИЙСКИЙ КЛАССИФИКАТОР ПРОФЕССИЙ РАБОЧИХ, ДОЛЖНОСТЕЙ СЛУЖАЩИХ И ТАРИФНЫХ РАЗРЯДОВ ОК 016-2025</t>
  </si>
  <si>
    <t>978-5-16-021237-1</t>
  </si>
  <si>
    <t>38.03.03, 38.04.03, 40.03.01</t>
  </si>
  <si>
    <t>824325.01.01</t>
  </si>
  <si>
    <t>Общественная география после 2030 г...: Моногр. / В.И.Блануца - М.:НИЦ ИНФРА-М,2024. - 336 с.(Науч.мысль)(п)</t>
  </si>
  <si>
    <t>ОБЩЕСТВЕННАЯ ГЕОГРАФИЯ ПОСЛЕ 2030 ГОДА: КОНТУРЫ НОВЫХ НАПРАВЛЕНИЙ</t>
  </si>
  <si>
    <t>978-5-16-019802-6</t>
  </si>
  <si>
    <t>05.04.02, 05.06.01, 41.04.05, 41.06.01</t>
  </si>
  <si>
    <t>775351.01.01</t>
  </si>
  <si>
    <t>Общественная география: цифровые приоритеты XXI в.: Моногр. / В.И.Блануца-М.:НИЦ ИНФРА-М,2022.-252 с.(П)</t>
  </si>
  <si>
    <t>ОБЩЕСТВЕННАЯ ГЕОГРАФИЯ: ЦИФРОВЫЕ ПРИОРИТЕТЫ XXI ВЕКА</t>
  </si>
  <si>
    <t>978-5-16-017607-9</t>
  </si>
  <si>
    <t>05.04.02, 05.06.01, 41.03.02</t>
  </si>
  <si>
    <t>728383.02.01</t>
  </si>
  <si>
    <t>Общественное мнение в США в преддверии...: Моногр. / Т.В.Алентьева-М.:НИЦ ИНФРА-М,2022.-357 с.(Науч.мысль)(О)</t>
  </si>
  <si>
    <t>ОБЩЕСТВЕННОЕ МНЕНИЕ В США В ПРЕДДВЕРИИ ГРАЖДАНСКОЙ ВОЙНЫ (1850-1861 ГГ.)</t>
  </si>
  <si>
    <t>978-5-16-015911-9</t>
  </si>
  <si>
    <t>741862.04.01</t>
  </si>
  <si>
    <t>Общественное мнение в управ. соц. процессами: Моногр. / Е.Г.Бунов - М.:НИЦ ИНФРА-М,2026. - 166 с.(Науч.мысль)(О)</t>
  </si>
  <si>
    <t>ОБЩЕСТВЕННОЕ МНЕНИЕ В УПРАВЛЕНИИ СОЦИАЛЬНЫМИ ПРОЦЕССАМИ</t>
  </si>
  <si>
    <t>Бунов Е.Г., Тихонова Е.В.</t>
  </si>
  <si>
    <t>978-5-16-017738-0</t>
  </si>
  <si>
    <t>735885.03.01</t>
  </si>
  <si>
    <t>Общественный и идентификац. статус коммуникатив.: Моногр. / О.Я.Гойхман.-М.:НИЦ ИНФРА-М,2024.-198 с.(О)</t>
  </si>
  <si>
    <t>ОБЩЕСТВЕННЫЙ И ИДЕНТИФИКАЦИОННЫЙ СТАТУС КОММУНИКАТИВИСТИКИ</t>
  </si>
  <si>
    <t>Гойхман О.Я., Гончарова Л.М., Дмитриева С.Ю. и др.</t>
  </si>
  <si>
    <t>978-5-16-016358-1</t>
  </si>
  <si>
    <t>37.04.01, 37.04.02, 37.05.01, 37.05.02, 37.06.01, 38.04.01, 38.04.02, 38.04.03, 38.04.04, 38.06.01, 41.04.05, 41.06.01, 42.04.01, 42.04.02, 42.04.03, 42.04.04, 42.04.05, 42.06.01</t>
  </si>
  <si>
    <t>741367.02.01</t>
  </si>
  <si>
    <t>Общество во власти медиапроцессов: Моногр. / А.А.Ефанов-М.:НИЦ ИНФРА-М,2024.-189 с.(Науч.мысль)(о)</t>
  </si>
  <si>
    <t>ОБЩЕСТВО ВО ВЛАСТИ МЕДИАПРОЦЕССОВ</t>
  </si>
  <si>
    <t>Ефанов А.А.</t>
  </si>
  <si>
    <t>978-5-16-019415-8</t>
  </si>
  <si>
    <t>39.04.01, 39.06.01, 41.04.04, 41.06.01, 42.04.02, 42.04.05, 42.06.01</t>
  </si>
  <si>
    <t>374300.05.01</t>
  </si>
  <si>
    <t>Общество и государство: Моногр. / В.В.Афанасьев - М.:НИЦ ИНФРА-М,2025. - 175 с.(Научная мысль)(П)</t>
  </si>
  <si>
    <t>ОБЩЕСТВО И ГОСУДАРСТВО</t>
  </si>
  <si>
    <t>Афанасьев В.В.</t>
  </si>
  <si>
    <t>978-5-16-011062-2</t>
  </si>
  <si>
    <t>40.03.01, 41.03.04, 41.06.01, 44.03.01, 44.03.05</t>
  </si>
  <si>
    <t>823171.01.01</t>
  </si>
  <si>
    <t>Общество и школа: вызовы и ответы: Моногр. / Д.Г.Левитес - М.:НИЦ ИНФРА-М,2025 - 218 с.(Науч.мысль)(о)</t>
  </si>
  <si>
    <t>ОБЩЕСТВО И ШКОЛА: ВЫЗОВЫ И ОТВЕТЫ</t>
  </si>
  <si>
    <t>Левитес Д.Г.</t>
  </si>
  <si>
    <t>978-5-16-019948-1</t>
  </si>
  <si>
    <t>Мурманский арктический университет</t>
  </si>
  <si>
    <t>259600.10.01</t>
  </si>
  <si>
    <t>Общие вопросы эффективного природопользования: Моногр. / А.П.Гарнов - М.:НИЦ ИНФРА-М,2025 - 214 с.(О)</t>
  </si>
  <si>
    <t>ОБЩИЕ ВОПРОСЫ ЭФФЕКТИВНОГО ПРИРОДОПОЛЬЗОВАНИЯ</t>
  </si>
  <si>
    <t>Гарнов А. П., Краснобаева О. В.</t>
  </si>
  <si>
    <t>978-5-16-009495-3</t>
  </si>
  <si>
    <t>38.03.01, 38.03.02, 38.04.01, 38.04.02, 40.03.01, 40.04.01, 41.03.06</t>
  </si>
  <si>
    <t>369400.05.01</t>
  </si>
  <si>
    <t>Общие основания религий: Монография / С.Ю.Поройков - М.:НИЦ ИНФРА-М,2022 - 313 с.-(Науч.мысль)(О)</t>
  </si>
  <si>
    <t>ОБЩИЕ ОСНОВАНИЯ РЕЛИГИЙ</t>
  </si>
  <si>
    <t>Поройков С.Ю.</t>
  </si>
  <si>
    <t>978-5-16-011007-3</t>
  </si>
  <si>
    <t>44.03.05, 47.06.01</t>
  </si>
  <si>
    <t>674623.02.01</t>
  </si>
  <si>
    <t>Объединение бизнеса и консолидир.финанс.отчет.: Моногр./ В.С.Плотников-М.:НИЦ ИНФРА-М,2021.-278с(П)</t>
  </si>
  <si>
    <t>ОБЪЕДИНЕНИЕ БИЗНЕСА И КОНСОЛИДИРОВАННАЯ ФИНАНСОВАЯ ОТЧЕТНОСТЬ</t>
  </si>
  <si>
    <t>Плотников В.С., Плотникова О.В.</t>
  </si>
  <si>
    <t>978-5-16-016882-1</t>
  </si>
  <si>
    <t>844887.01.01</t>
  </si>
  <si>
    <t>Объективность судеб. разбират. в гражданском судопроизвод. / К.А.Ширяева - М.:НИЦ ИНФРА-М,2025 -183 с.(о)</t>
  </si>
  <si>
    <t>ОБЪЕКТИВНОСТЬ СУДЕБНОГО РАЗБИРАТЕЛЬСТВА В ГРАЖДАНСКОМ СУДОПРОИЗВОДСТВЕ</t>
  </si>
  <si>
    <t>Ширяева К.А.</t>
  </si>
  <si>
    <t>978-5-16-020559-5</t>
  </si>
  <si>
    <t>801730.01.01</t>
  </si>
  <si>
    <t>Объекты земельных правоотношений: Моногр. / Н.Н.Мельников-М.:НИЦ ИНФРА-М,2024.-302 с.(п)</t>
  </si>
  <si>
    <t>ОБЪЕКТЫ ЗЕМЕЛЬНЫХ ПРАВООТНОШЕНИЙ</t>
  </si>
  <si>
    <t>Мельников Н.Н.</t>
  </si>
  <si>
    <t>978-5-16-018420-3</t>
  </si>
  <si>
    <t>21.04.02, 40.04.01, 40.06.01</t>
  </si>
  <si>
    <t>668809.02.01</t>
  </si>
  <si>
    <t>Ограждающие и несущие строит.констр.из стальных...: Моногр./ Л.В.Енджиевский-М.:НИЦ ИНФРА-М, СФУ,2023-282с</t>
  </si>
  <si>
    <t>ОГРАЖДАЮЩИЕ И НЕСУЩИЕ СТРОИТЕЛЬНЫЕ КОНСТРУКЦИИ ИЗ СТАЛЬНЫХ ТОНКОСТЕННЫХ ПРОФИЛЕЙ</t>
  </si>
  <si>
    <t>Енджиевский Л.В., Крылов И.И., Кретинин А.Н. и др.</t>
  </si>
  <si>
    <t>978-5-16-018107-3</t>
  </si>
  <si>
    <t>08.03.01, 08.04.01, 08.05.01, 08.05.03</t>
  </si>
  <si>
    <t>711046.05.01</t>
  </si>
  <si>
    <t>Оздоровительное и спорт. плавание для людей.../ Под ред. Булгаковой Н.Ж. - М.:НИЦ ИНФРА-М,2026. - 313 с(О)</t>
  </si>
  <si>
    <t>ОЗДОРОВИТЕЛЬНОЕ И СПОРТИВНОЕ ПЛАВАНИЕ ДЛЯ ЛЮДЕЙ С ОГРАНИЧЕННЫМИ ВОЗМОЖНОСТЯМИ</t>
  </si>
  <si>
    <t>Булгакова Н.Ж., Морозов С.Н., Никитина С.М. и др.</t>
  </si>
  <si>
    <t>978-5-16-015465-7</t>
  </si>
  <si>
    <t>49.03.02, 49.04.02</t>
  </si>
  <si>
    <t>660119.04.01</t>
  </si>
  <si>
    <t>Окказионализмы - признак.слова в идиолекте Н.С. Лескова: Моногр. / О.А.Головачева-М.:НИЦ ИНФРА-М,2025-129c</t>
  </si>
  <si>
    <t>ОККАЗИОНАЛИЗМЫ - ПРИЗНАКОВЫЕ СЛОВА В ИДИОЛЕКТЕ Н.С. ЛЕСКОВА</t>
  </si>
  <si>
    <t>Головачева О.А.</t>
  </si>
  <si>
    <t>978-5-16-013088-0</t>
  </si>
  <si>
    <t>Брянский государственный университет им. академика И.Г. Петровского</t>
  </si>
  <si>
    <t>732304.05.01</t>
  </si>
  <si>
    <t>Олимпийский туризм: Моногр. / А.М.Ветитнев - М.:НИЦ ИНФРА-М,2026 - 227 с.(о)</t>
  </si>
  <si>
    <t>ОЛИМПИЙСКИЙ ТУРИЗМ: ОРГАНИЗАЦИОННО-ЭКОНОМИЧЕСКИЕ АСПЕКТЫ И ВЛИЯНИЕ НА ПРИНИМАЮЩУЮ ДЕСТИНАЦИЮ</t>
  </si>
  <si>
    <t>Ветитнев А.М., Бобина Н.В.</t>
  </si>
  <si>
    <t>978-5-16-016069-6</t>
  </si>
  <si>
    <t>43.04.01, 43.04.02, 43.04.03, 49.03.03</t>
  </si>
  <si>
    <t>Сочинский государственный университет</t>
  </si>
  <si>
    <t>809456.01.01</t>
  </si>
  <si>
    <t>Ономастика международных отношений: Моногр. / Л.О.Терновая-М.:НИЦ ИНФРА-М,2024.-349 с.(Науч.мысль)(п)</t>
  </si>
  <si>
    <t>ОНОМАСТИКА МЕЖДУНАРОДНЫХ ОТНОШЕНИЙ</t>
  </si>
  <si>
    <t>978-5-16-018901-7</t>
  </si>
  <si>
    <t>41.03.01, 41.03.04, 41.03.05, 41.04.04, 41.04.05, 41.06.01, 51.03.01</t>
  </si>
  <si>
    <t>777227.03.01</t>
  </si>
  <si>
    <t>Ономастическое пространство памятников письм. Киев. Руси: Моногр./Е.Н.Соколова-М.:НИЦ ИНФРА-М,2024-274с.(О)</t>
  </si>
  <si>
    <t>ОНОМАСТИЧЕСКОЕ ПРОСТРАНСТВО ПАМЯТНИКОВ ПИСЬМЕННОСТИ КИЕВСКОЙ РУСИ</t>
  </si>
  <si>
    <t>Соколова Е.Н.</t>
  </si>
  <si>
    <t>978-5-16-017711-3</t>
  </si>
  <si>
    <t>45.04.03, 51.04.03</t>
  </si>
  <si>
    <t>Тюменский государственный университет</t>
  </si>
  <si>
    <t>431200.11.01</t>
  </si>
  <si>
    <t>Онтология права:(критич. исслед. юр. концепта...): Моногр. / Г.А.Гаджиев - М:Норма:НИЦ ИНФРА-М,2025 - 320 с. (п)</t>
  </si>
  <si>
    <t>ОНТОЛОГИЯ ПРАВА: (КРИТИЧЕСКОЕ ИССЛЕДОВАНИЕ ЮРИДИЧЕСКОГО КОНЦЕПТА ДЕЙСТВИТЕЛЬНОСТИ)</t>
  </si>
  <si>
    <t>Гаджиев Г. А.</t>
  </si>
  <si>
    <t>978-5-91768-331-7</t>
  </si>
  <si>
    <t>817381.01.01</t>
  </si>
  <si>
    <t>Онтология цифры: Монография / С.В.Григоришин и др.-М.:НИЦ ИНФРА-М,2024.-141 с..-(Науч.мысль)(о)</t>
  </si>
  <si>
    <t>ОНТОЛОГИЯ ЦИФРЫ</t>
  </si>
  <si>
    <t>Григоришин С.В., Петров А.М., Попов А.Н.</t>
  </si>
  <si>
    <t>978-5-16-019402-8</t>
  </si>
  <si>
    <t>314700.08.01</t>
  </si>
  <si>
    <t>ООН и междун. защита прав челов. в XXI в.: Моногр./В.А.Карташкин - М.: Норма: ИНФРА-М, 2025-176с.(П)</t>
  </si>
  <si>
    <t>ОРГАНИЗАЦИЯ ОБЪЕДИНЕННЫХ НАЦИЙ И МЕЖДУНАРОДНАЯ ЗАЩИТА ПРАВ ЧЕЛОВЕКА В XXI ВЕКЕ</t>
  </si>
  <si>
    <t>Карташкин В.А.</t>
  </si>
  <si>
    <t>978-5-91768-554-0</t>
  </si>
  <si>
    <t>40.03.01, 40.04.01, 41.03.05, 41.04.05, 44.03.05</t>
  </si>
  <si>
    <t>834827.01.01</t>
  </si>
  <si>
    <t>Оперативно-розыск. виктимология и ее орг.: Моногр. / С.С.Галахов-М.:Юр. НОРМА, НИЦ ИНФРА-М,2024-144 с.(п)</t>
  </si>
  <si>
    <t>ОПЕРАТИВНО-РОЗЫСКНАЯ ВИКТИМОЛОГИЯ И ЕЕ ОРГАНИЗАЦИЯ: НАУЧНЫЕ И ПРАВОВЫЕ ОСНОВЫ РЕГУЛИРОВАНИЯ</t>
  </si>
  <si>
    <t>978-5-00156-381-5</t>
  </si>
  <si>
    <t>37.05.01, 37.05.02, 37.06.01, 40.04.01, 40.05.01, 40.05.02, 40.05.03, 40.05.04, 40.06.01, 44.05.01</t>
  </si>
  <si>
    <t>189948.10.01</t>
  </si>
  <si>
    <t>Оперативно-розыск. деят. по борьбе с коррупц. прест... / А.Н.Халиков - 3изд. - М.:ИЦ РИОР, НИЦ ИНФРА-М,2025 - 395 с.(о)</t>
  </si>
  <si>
    <t>ОПЕРАТИВНО-РОЗЫСКНАЯ ДЕЯТЕЛЬНОСТЬ ПО БОРЬБЕ С КОРРУПЦИОННЫМИ ПРЕСТУПЛЕНИЯМИ, СОВЕРШАЕМЫМИ ДОЛЖНОСТНЫМИ ЛИЦАМИ ОРГАНОВ ВЛАСТИ, ИЗД.3</t>
  </si>
  <si>
    <t>Халиков А.Н.</t>
  </si>
  <si>
    <t>978-5-369-01979-5</t>
  </si>
  <si>
    <t>Уфимский Университет Науки и Технологий</t>
  </si>
  <si>
    <t>189948.11.01</t>
  </si>
  <si>
    <t>Оперативно-розыск. деят. по борьбе с коррупц..: Моногр. / А.Н.Халиков - 2 изд. - РИОР:ИНФРА-М, 2020 - 342 с.(о)</t>
  </si>
  <si>
    <t>ОПЕРАТИВНО-РОЗЫСКНАЯ ДЕЯТЕЛЬНОСТЬ ПО БОРЬБЕ С КОРРУПЦИОННЫМИ ПРЕСТУПЛЕНИЯМИ, СОВЕРШАЕМЫМИ ДОЛЖНОСТНЫМИ ЛИЦАМИ ОРГАНОВ ВЛАСТИ, ИЗД.2</t>
  </si>
  <si>
    <t>Халиков А. Н.</t>
  </si>
  <si>
    <t>978-5-369-01062-4</t>
  </si>
  <si>
    <t>766458.08.01</t>
  </si>
  <si>
    <t>Оперативно-розыскная деят. в цифр. мире: Сб. / Под ред. Овчинского В.С.-М.:НИЦ ИНФРА-М,2024.-630 с.(П)</t>
  </si>
  <si>
    <t>ОПЕРАТИВНО-РОЗЫСКНАЯ ДЕЯТЕЛЬНОСТЬ В ЦИФРОВОМ МИРЕ</t>
  </si>
  <si>
    <t>978-5-16-017227-9</t>
  </si>
  <si>
    <t>786502.02.01</t>
  </si>
  <si>
    <t>Оперативно-розыскная деят. и совр.: Сб. науч. труд. / Под ред. Овчинского В.С.-М.:НИЦ ИНФРА-М,2023.-412 с.(П)</t>
  </si>
  <si>
    <t>ОПЕРАТИВНО-РОЗЫСКНАЯ ДЕЯТЕЛЬНОСТЬ И СОВРЕМЕННОСТЬ</t>
  </si>
  <si>
    <t>978-5-16-017873-8</t>
  </si>
  <si>
    <t>10.05.05, 38.05.01, 40.02.02, 40.04.01, 40.05.01, 40.05.02, 40.05.03, 40.05.04, 40.06.01</t>
  </si>
  <si>
    <t>304800.09.01</t>
  </si>
  <si>
    <t>Оперативно-розыскная деятельность в XXI в.: Моногр. / С.И. Захарцев - М.: Норма, 2026 - 400 с.(п)</t>
  </si>
  <si>
    <t>ОПЕРАТИВНО-РОЗЫСКНАЯ ДЕЯТЕЛЬНОСТЬ В XXI ВЕКЕ</t>
  </si>
  <si>
    <t>Захарцев С.И., Игнащенков Ю.Ю., Сальников В.П.</t>
  </si>
  <si>
    <t>978-5-91768-538-0</t>
  </si>
  <si>
    <t>022900.09.01</t>
  </si>
  <si>
    <t>Оперативно-розыскная информация: Моногр. / Под ред. Овчинского А.С., - 2 изд. - М.:НИЦ ИНФРА-М,2025. - 415 с.(П)</t>
  </si>
  <si>
    <t>ОПЕРАТИВНО-РОЗЫСКНАЯ ИНФОРМАЦИЯ, ИЗД.2</t>
  </si>
  <si>
    <t>Овчинский С. С., Овчинский А. С., Овчинский В. С.</t>
  </si>
  <si>
    <t>978-5-16-012187-1</t>
  </si>
  <si>
    <t>725118.01.01</t>
  </si>
  <si>
    <t>Операторные урав. и смежные воп. устойчивости дифференц. уравнений/ Л.К.Орлик-М.:НИЦ ИНФРА-М,2020.-296 с.(О)</t>
  </si>
  <si>
    <t>ОПЕРАТОРНЫЕ УРАВНЕНИЯ И СМЕЖНЫЕ ВОПРОСЫ УСТОЙЧИВОСТИ ДИФФЕРЕНЦИАЛЬНЫХ УРАВНЕНИЙ</t>
  </si>
  <si>
    <t>Орлик Л.К., Жукова Г.С.</t>
  </si>
  <si>
    <t>978-5-16-015846-4</t>
  </si>
  <si>
    <t>01.04.01, 01.04.02, 01.04.03, 01.04.04, 01.06.01, 02.04.01, 02.04.02, 02.04.03, 02.06.01, 03.04.01, 03.04.02, 03.04.03, 03.06.01</t>
  </si>
  <si>
    <t>667545.08.01</t>
  </si>
  <si>
    <t>Определение угловой ориентации объектов по ..: Моногр. / А.М.Алешечкин - М.:НИЦ ИНФРА-М, СФУ,2026  - 175 с.(П)</t>
  </si>
  <si>
    <t>ОПРЕДЕЛЕНИЕ УГЛОВОЙ ОРИЕНТАЦИИ ОБЪЕКТОВ ПО СИГНАЛАМ СПУТНИКОВЫХ РАДИОНАВИГАЦИОННЫХ СИСТЕМ</t>
  </si>
  <si>
    <t>Алешечкин А.М.</t>
  </si>
  <si>
    <t>978-5-16-017991-9</t>
  </si>
  <si>
    <t>636768.01.01</t>
  </si>
  <si>
    <t>Определения Апелляц. коллегии Верх. Суда РФ..: Сб. / Г.В.Манохина - М:Норма,НИЦ ИНФРА-М,2016-704с(П)</t>
  </si>
  <si>
    <t>ОПРЕДЕЛЕНИЯ АПЕЛЛЯЦИОННОЙ КОЛЛЕГИИ ВЕРХОВНОГО СУДА  РФ ПО АДМИНИСТРАТИВНЫМ ДЕЛАМ 2015</t>
  </si>
  <si>
    <t>Манохина Г.В., Кокарева О.А.</t>
  </si>
  <si>
    <t>978-5-91768-754-4</t>
  </si>
  <si>
    <t>Верховный Суд Российской Федерации</t>
  </si>
  <si>
    <t>636770.01.01</t>
  </si>
  <si>
    <t>Определения ВС  РФ по делам об оспарив..: Сб. / Л.А.Калинина-М.:Юр.Норма, НИЦ ИНФРА-М,2016.-720с.(П)</t>
  </si>
  <si>
    <t>ОПРЕДЕЛЕНИЯ ВЕРХОВНОГО СУДА  РФ ПО ДЕЛАМ ОБ ОСПАРИВАНИИ НОРМАТИВНЫХ ПРАВОВЫХ АКТОВ СУБЪЕКТОВ РФ. 2015</t>
  </si>
  <si>
    <t>Калинина Л.А., Бондарева Ю.С., Лебедев В.М.</t>
  </si>
  <si>
    <t>978-5-91768-755-1</t>
  </si>
  <si>
    <t>640622.01.01</t>
  </si>
  <si>
    <t>Определения ВС РФ по гражданским....2015:Сборник / Е.С.Гетман-М.:Юр.Норма, НИЦ ИНФРА-М,2016-784с.(П)</t>
  </si>
  <si>
    <t>ОПРЕДЕЛЕНИЯ ВС РФ ПО ГРАЖДАНСКИМ, ТРУДОВЫМ, СОЦИАЛЬНЫМ И ЭКОНОМИЧЕСКИМ СПОРАМ. 2015</t>
  </si>
  <si>
    <t>Гетман Е.С., Кликушин А.А., Пчелинцева Л.М. и др.</t>
  </si>
  <si>
    <t>978-5-91768-765-0</t>
  </si>
  <si>
    <t>707097.01.01</t>
  </si>
  <si>
    <t>Оптимальное управ. тяговыми электроприводами: Моногр. / Е.М.Овсянников-М.:НИЦ ИНФРА-М,2022.-307 с.(Науч.мысль)(О)</t>
  </si>
  <si>
    <t>ОПТИМАЛЬНОЕ УПРАВЛЕНИЕ ТЯГОВЫМИ ЭЛЕКТРОПРИВОДАМИ</t>
  </si>
  <si>
    <t>Овсянников Е.М., Гайтова Т.Б.</t>
  </si>
  <si>
    <t>978-5-16-016422-9</t>
  </si>
  <si>
    <t>410150.04.01</t>
  </si>
  <si>
    <t>Оптимизационные модели упр. фин.ресурсами..: Моногр. /А.В.Мищенко -М.:ИЦ РИОР,НИЦ ИНФРА-М,2019-337с(О)</t>
  </si>
  <si>
    <t>ОПТИМИЗАЦИОННЫЕ МОДЕЛИ УПРАВЛЕНИЯ ФИНАНСОВЫМИ РЕСУРСАМИ ПРЕДПРИЯТИЯ</t>
  </si>
  <si>
    <t>Мищенко А. В., Виноградова Е. В.</t>
  </si>
  <si>
    <t>978-5-369-01152-2</t>
  </si>
  <si>
    <t>38.03.01, 38.03.02, 38.04.01, 38.04.02, 38.04.08, 41.03.06, 44.03.01</t>
  </si>
  <si>
    <t>717652.02.01</t>
  </si>
  <si>
    <t>Оптимизационные модели управ. огранич. ресурс. в логист.: Моногр. / А.В.Мищенко-М.:НИЦ ИНФРА-М,2023.-253 с.(О)</t>
  </si>
  <si>
    <t>ОПТИМИЗАЦИОННЫЕ МОДЕЛИ УПРАВЛЕНИЯ ОГРАНИЧЕННЫМИ РЕСУРСАМИ В ЛОГИСТИКЕ</t>
  </si>
  <si>
    <t>Мищенко А.В., Иванова А.В.</t>
  </si>
  <si>
    <t>978-5-16-016130-3</t>
  </si>
  <si>
    <t>38.00.00, 38.03.01, 38.04.01, 38.04.02, 38.06.01</t>
  </si>
  <si>
    <t>727591.02.01</t>
  </si>
  <si>
    <t>Оптимизация решений по многим критериям в логистике / Г.Л.Бродецкий-М.:НИЦ ИНФРА-М,2020.-320 с.(П)</t>
  </si>
  <si>
    <t>ОПТИМИЗАЦИЯ РЕШЕНИЙ ПО МНОГИМ КРИТЕРИЯМ В ЛОГИСТИКЕ</t>
  </si>
  <si>
    <t>Бродецкий Г.Л., Гусев Д.А., Шидловский И.Г.</t>
  </si>
  <si>
    <t>978-5-16-016207-2</t>
  </si>
  <si>
    <t>27.03.05, 27.04.05, 38.03.01, 38.03.02, 38.04.01, 38.04.02</t>
  </si>
  <si>
    <t>318700.07.01</t>
  </si>
  <si>
    <t>Опыт и перспективы применения инновац. технологий....: Моногр. / Г.В.Алексеев - М:ИНФРА-М,2025 - 321 с.(о)</t>
  </si>
  <si>
    <t>ОПЫТ И ПЕРСПЕКТИВЫ ПРИМЕНЕНИЯ ИННОВАЦИОННЫХ ТЕХНОЛОГИЙ ОБРАЗОВАНИЯ В ОБЛАСТИ ПИЩЕВЫХ ПРОИЗВОДСТВ</t>
  </si>
  <si>
    <t>Алексеев Г.В., Бриденко И.И.</t>
  </si>
  <si>
    <t>978-5-16-010414-0</t>
  </si>
  <si>
    <t>19.04.01, 19.04.02, 19.04.03, 19.04.04, 19.04.05</t>
  </si>
  <si>
    <t>673720.07.01</t>
  </si>
  <si>
    <t>Организационно-метод. подходы к бух. уч...: Моногр. / Е.Н.Песчанникова - М.:НИЦ ИНФРА-М,2025 - 115 с.(О)</t>
  </si>
  <si>
    <t>ОРГАНИЗАЦИОННО-МЕТОДИЧЕСКИЕ ПОДХОДЫ К БУХГАЛТЕРСКОМУ УЧЕТУ И КОНТРОЛЮ БИБЛИОТЕЧНО-ИНФОРМАЦИОННОГО РЕСУРСА ОБРАЗОВАТЕЛЬНЫХ ОРГАНИЗАЦИЙ ВЫСШЕГО ОБРАЗОВАНИЯ</t>
  </si>
  <si>
    <t>Песчанникова Е.Н., Рудакова Е.Н.</t>
  </si>
  <si>
    <t>978-5-16-013812-1</t>
  </si>
  <si>
    <t>51.03.06</t>
  </si>
  <si>
    <t>856880.01.01</t>
  </si>
  <si>
    <t>Организационно-прав. реш. по обеспеч. технологич. суверенитета / С.Ф.Остапюк. - М.:НИЦ ИНФРА-М,2025. - 236 с.(п)</t>
  </si>
  <si>
    <t>ОРГАНИЗАЦИОННО-ПРАВОВЫЕ РЕШЕНИЯ ПО ОБЕСПЕЧЕНИЮ ТЕХНОЛОГИЧЕСКОГО СУВЕРЕНИТЕТА</t>
  </si>
  <si>
    <t>Остапюк С.Ф., Куприянова Л.М., Фетисов В.П. и др.</t>
  </si>
  <si>
    <t>978-5-16-021061-2</t>
  </si>
  <si>
    <t>27.04.05, 27.06.01, 38.04.01, 38.05.01, 38.06.01, 40.04.01, 40.05.01, 40.06.01</t>
  </si>
  <si>
    <t>Институт проблем развития науки Российской академии наук</t>
  </si>
  <si>
    <t>814026.01.01</t>
  </si>
  <si>
    <t>Организационно-технологич. реш. реконструкции: Моногр. / С.Н.Леонович - М.:НИЦ ИНФРА-М,2025. - 244 с.(п)</t>
  </si>
  <si>
    <t>ОРГАНИЗАЦИОННО-ТЕХНОЛОГИЧЕСКИЕ РЕШЕНИЯ РЕКОНСТРУКЦИИ И МОДЕРНИЗАЦИИ ПРЕДПРИЯТИЙ ИНДУСТРИАЛЬНОГО ДОМОСТРОЕНИЯ</t>
  </si>
  <si>
    <t>Леонович С.Н., Гуринович В.Ю.</t>
  </si>
  <si>
    <t>978-5-16-020530-4</t>
  </si>
  <si>
    <t>08.02.01, 08.03.01</t>
  </si>
  <si>
    <t>790124.02.01</t>
  </si>
  <si>
    <t>Организационно-экономич. основы систематизации проект... / Е.В.Кравчук - М.:НИЦ ИНФРА-М,2026. - 186 с.(О)</t>
  </si>
  <si>
    <t>ОРГАНИЗАЦИОННО-ЭКОНОМИЧЕСКИЕ ОСНОВЫ СИСТЕМАТИЗАЦИИ ПРОЕКТНОГО РЕШЕНИЯ В СФЕРЕ СТРОИТЕЛЬСТВА</t>
  </si>
  <si>
    <t>Кравчук Е.В.</t>
  </si>
  <si>
    <t>978-5-16-018199-8</t>
  </si>
  <si>
    <t>08.04.01, 08.05.01, 08.06.01</t>
  </si>
  <si>
    <t>776706.01.01</t>
  </si>
  <si>
    <t>Организация воспитательной работы в совр. вузе.../ Под ред. Ивановой В.А.-М.:НИЦ ИНФРА-М,2023.-195 с.(п)</t>
  </si>
  <si>
    <t>ОРГАНИЗАЦИЯ ВОСПИТАТЕЛЬНОЙ РАБОТЫ В СОВРЕМЕННОМ ВУЗЕ: ТРАДИЦИИ И НОВАЦИИ</t>
  </si>
  <si>
    <t>Иванова В.А., Алябьева Е.В., Богданова М.М. и др.</t>
  </si>
  <si>
    <t>978-5-16-017855-4</t>
  </si>
  <si>
    <t>44.04.01, 44.04.02, 44.06.01, 51.04.03</t>
  </si>
  <si>
    <t>Финансовый университет при Правительстве Российской Федерации, Алтайский ф-л</t>
  </si>
  <si>
    <t>748074.02.01</t>
  </si>
  <si>
    <t>Организация и управ. приватным парком груз. вагонов: Моногр. / В.О.Федорович.-М.:НИЦ ИНФРА-М,2022.-174 с.(О)</t>
  </si>
  <si>
    <t>ОРГАНИЗАЦИЯ И УПРАВЛЕНИЕ ПРИВАТНЫМ ПАРКОМ ГРУЗОВЫХ ВАГОНОВ: ЭКОНОМИЧЕСКИЙ ПОДХОД</t>
  </si>
  <si>
    <t>Федорович В.О., Кубрак Н.А., Федорович Т.В. и др.</t>
  </si>
  <si>
    <t>978-5-16-017546-1</t>
  </si>
  <si>
    <t>829361.01.01</t>
  </si>
  <si>
    <t>Организация инновац. проект. в экономике догоняющего типа / Чилипенок Ю.Ю. - М.:НИЦ ИНФРА-М,2025. - 228 с.(п)</t>
  </si>
  <si>
    <t>ОРГАНИЗАЦИЯ ИННОВАЦИОННЫХ ПРОЕКТОВ В ЭКОНОМИКЕ ДОГОНЯЮЩЕГО ТИПА</t>
  </si>
  <si>
    <t>Цителадзе Д.Д., Чилипенок Ю.Ю., Гапонова О.С.</t>
  </si>
  <si>
    <t>978-5-16-020182-5</t>
  </si>
  <si>
    <t>27.04.07, 38.04.02, 38.04.04, 38.06.01</t>
  </si>
  <si>
    <t>657350.05.01</t>
  </si>
  <si>
    <t>Организация исслед. деят. в процессе обуч...: Моногр. / П.Ю.Романов. - М.:НИЦ ИНФРА.2026  - 260 с.(о)</t>
  </si>
  <si>
    <t>ОРГАНИЗАЦИЯ ИССЛЕДОВАТЕЛЬСКОЙ ДЕЯТЕЛЬНОСТИ В ПРОЦЕССЕ ОБУЧЕНИЯ ЕСТЕСТВЕННОНАУЧНЫМ ДИСЦИПЛИНАМ В ШКОЛЕ И ВУЗЕ</t>
  </si>
  <si>
    <t>Романов П.Ю., Злыднева Т.П., Романова Т.Е. и др.</t>
  </si>
  <si>
    <t>978-5-16-019187-4</t>
  </si>
  <si>
    <t>44.03.01, 44.03.04, 44.04.01, 44.04.04</t>
  </si>
  <si>
    <t>803391.04.01</t>
  </si>
  <si>
    <t>Организация подготовки формир. войск нац. гвардии РФ к участию в СВО / С.А.Горелов - М.:НИЦ ИНФРА-М,2026 - 151 с.(п)</t>
  </si>
  <si>
    <t>ОРГАНИЗАЦИЯ ПОДГОТОВКИ ФОРМИРОВАНИЙ ВОЙСК НАЦИОНАЛЬНОЙ ГВАРДИИ РОССИЙСКОЙ ФЕДЕРАЦИИ К УЧАСТИЮ В СПЕЦИАЛЬНОЙ ВОЕННОЙ  ОПЕРАЦИИ</t>
  </si>
  <si>
    <t>Мельничук В.А., Горелов С.А., Фетисов А.В.</t>
  </si>
  <si>
    <t>978-5-16-018576-7</t>
  </si>
  <si>
    <t>56.04.01, 56.04.02, 56.04.03, 56.04.04, 56.04.09, 56.04.12, 56.05.01, 56.05.03</t>
  </si>
  <si>
    <t>786995.01.01</t>
  </si>
  <si>
    <t>Организация профильного обуч. шк. по индивидуал. учеб. планам / Н.И.Постникова-М.:НИЦ ИНФРА-М,2023.-167 с(О)</t>
  </si>
  <si>
    <t>ОРГАНИЗАЦИЯ ПРОФИЛЬНОГО ОБУЧЕНИЯ ШКОЛЬНИКОВ ПО ИНДИВИДУАЛЬНЫМ УЧЕБНЫМ ПЛАНАМ</t>
  </si>
  <si>
    <t>Постникова Н.И.</t>
  </si>
  <si>
    <t>978-5-16-017917-9</t>
  </si>
  <si>
    <t>44.04.01, 44.04.04, 44.06.01</t>
  </si>
  <si>
    <t>409900.09.01</t>
  </si>
  <si>
    <t>Организация создания инноваций: горизонт..: Моногр. / Б.З.Мильнер - М:НИЦ ИНФРА-М,2025 - 288 с.(Науч.мысль) (п)</t>
  </si>
  <si>
    <t>ОРГАНИЗАЦИЯ СОЗДАНИЯ ИННОВАЦИЙ: ГОРИЗОНТАЛЬНЫЕ СВЯЗИ И УПРАВЛЕНИЕ</t>
  </si>
  <si>
    <t>Мильнер Б. З., Орлова Т. М.</t>
  </si>
  <si>
    <t>978-5-16-006175-7</t>
  </si>
  <si>
    <t>27.03.05, 27.04.06, 27.04.07, 38.03.01, 38.03.02, 38.04.02, 41.03.06</t>
  </si>
  <si>
    <t>773964.04.01</t>
  </si>
  <si>
    <t>Организация труда следователя: Монография / В.Н.Карагодин - М.:НИЦ ИНФРА-М,2025. - 190 с.(Науч.мысль)(П )</t>
  </si>
  <si>
    <t>ОРГАНИЗАЦИЯ ТРУДА СЛЕДОВАТЕЛЯ</t>
  </si>
  <si>
    <t>Карагодин В.Н.</t>
  </si>
  <si>
    <t>978-5-16-017547-8</t>
  </si>
  <si>
    <t>727249.03.01</t>
  </si>
  <si>
    <t>Организация эксплуатации возд.пространства: Моногр. / Под ред. Бестугина А.Р. - М.:НИЦ ИНФРА-М,2022 - 256 с.(О)</t>
  </si>
  <si>
    <t>ОРГАНИЗАЦИЯ ЭКСПЛУАТАЦИИ ВОЗДУШНОГО ПРОСТРАНСТВА</t>
  </si>
  <si>
    <t>Бестугин А.Р., Киршина И.А., Филин А.Д. и др.</t>
  </si>
  <si>
    <t>978-5-16-015898-3</t>
  </si>
  <si>
    <t>25.04.03, 25.04.04, 25.05.05, 25.06.01</t>
  </si>
  <si>
    <t>Санкт-Петербургский государственный университет аэрокосмического приборостроения, ф-л Ивангородский гуманитарно-технический институт</t>
  </si>
  <si>
    <t>401900.11.01</t>
  </si>
  <si>
    <t>Организация, оценка эффект. и результат. оказ..: Моногр. / М.И.Гадаборшев - М.:НИЦ ИНФРА-М,2026 - 424 с.(п)</t>
  </si>
  <si>
    <t>ОРГАНИЗАЦИЯ, ОЦЕНКА ЭФФЕКТИВНОСТИ И РЕЗУЛЬТАТИВНОСТИ ОКАЗАНИЯ МЕДИЦИНСКОЙ ПОМОЩИ</t>
  </si>
  <si>
    <t>Гадаборшев М. И., Левкевич М. М., Рудлицкая Н. В.</t>
  </si>
  <si>
    <t>978-5-16-006315-7</t>
  </si>
  <si>
    <t>31.02.01, 31.05.01, 31.05.02, 32.05.01</t>
  </si>
  <si>
    <t>333700.04.01</t>
  </si>
  <si>
    <t>Ортогонализация функций и повышение помехоустойчивости...:Моногр./А.Н.Дегтярев-М.:Вуз. уч., НИЦ ИНФРА-М, 2023.-152 с.(о)</t>
  </si>
  <si>
    <t>ОРТОГОНАЛИЗАЦИЯ ФУНКЦИЙ И ПОВЫШЕНИЕ ПОМЕХОУСТОЙЧИВОСТИ ВЫСОКОСКОРОСТНЫХ СИСТЕМ ПЕРЕДАЧИ ИНФОРМАЦИИ</t>
  </si>
  <si>
    <t>Дегтярев А. Н.</t>
  </si>
  <si>
    <t>978-5-9558-0416-3</t>
  </si>
  <si>
    <t>11.03.01, 11.04.01, 11.05.02</t>
  </si>
  <si>
    <t>333200.06.01</t>
  </si>
  <si>
    <t>Осмысленная науч.деятельность..: Моногр./ Э .А.Соснин - М.:ИЦ РИОР,НИЦ ИНФРА-М,2024 - 148 с.(Науч.мысль)(о)</t>
  </si>
  <si>
    <t>ОСМЫСЛЕННАЯ НАУЧНАЯ ДЕЯТЕЛЬНОСТЬ: ДИССЕРТАНТУ - О ЖИЗНИ ЗНАНИЙ, ЗАЩИЩАЕМЫХ В ФОРМЕ ПОЛОЖЕНИЙ</t>
  </si>
  <si>
    <t>Э.А.Соснин, Б.Н.Пойзнер</t>
  </si>
  <si>
    <t>978-5-369-01430-1</t>
  </si>
  <si>
    <t>01.04.01, 01.04.02, 01.04.03, 01.04.04, 01.06.01, 03.04.01, 03.04.02, 03.04.03, 03.06.01, 04.04.01, 04.04.02, 04.06.01, 04.07.01, 05.04.01, 05.04.02, 05.04.03, 05.04.04, 05.04.05, 05.04.06, 05.06.01, 06.04.01, 06.04.02, 06.06.01, 06.07.01, 23.03.01</t>
  </si>
  <si>
    <t>085160.09.01</t>
  </si>
  <si>
    <t>Основания эконом. теории и методы орг. эффект. работы / Б.М. Генкин. -2 изд.М.:НОРМА, 2024. - 448 с. (п)</t>
  </si>
  <si>
    <t>ОСНОВАНИЯ ЭКОНОМИЧЕСКОЙ ТЕОРИИ И МЕТОДЫ ОРГАНИЗАЦИИ ЭФФЕКТИВНОЙ РАБОТЫ, ИЗД.2</t>
  </si>
  <si>
    <t>Генкин Б. М.</t>
  </si>
  <si>
    <t>978-5-91768-035-4</t>
  </si>
  <si>
    <t>01.03.01, 02.03.01, 02.03.03, 04.03.02, 07.03.03, 09.03.03, 15.03.05, 16.03.02, 19.03.04, 23.03.01, 23.03.03, 27.03.02, 27.03.05, 27.04.05, 29.03.02, 35.03.02, 35.03.03, 35.03.04, 35.03.05, 35.03.06, 35.03.08, 35.03.09, 36.03.02, 38.03.01, 38.03.02, 38.03.03, 38.03.04, 38.04.02, 38.04.03, 38.04.04, 41.03.01, 41.03.06, 42.03.01, 44.03.04, 44.03.05, 45.03.01, 45.03.04, 47.03.01, 52.03.01, 54.03.03, 54.03.04</t>
  </si>
  <si>
    <t>806179.01.01</t>
  </si>
  <si>
    <t>Основания экономикс: кардиналистский подход: Моногр. / В.С.Гродский-М.:НИЦ ИНФРА-М,2023.-179 с.(п)</t>
  </si>
  <si>
    <t>ОСНОВАНИЯ ЭКОНОМИКС: КАРДИНАЛИСТСКИЙ ПОДХОД</t>
  </si>
  <si>
    <t>978-5-16-018698-6</t>
  </si>
  <si>
    <t>38.03.01, 38.04.01, 38.04.02, 38.05.01, 38.06.01</t>
  </si>
  <si>
    <t>640618.06.01</t>
  </si>
  <si>
    <t>Основные вопр.теор.сов.фин.права: Моногр. / Е.А.Ровинский - 2 изд. - М.:Юр.Норма,НИЦ ИНФРА-М,2025- 176 с.(П)</t>
  </si>
  <si>
    <t>ОСНОВНЫЕ ВОПРОСЫ ТЕОРИИ СОВЕТСКОГО ФИНАНСОВОГО ПРАВА, ИЗД.2</t>
  </si>
  <si>
    <t>Ровинский Е.А.</t>
  </si>
  <si>
    <t>Наше наследие</t>
  </si>
  <si>
    <t>978-5-91768-766-7</t>
  </si>
  <si>
    <t>772575.01.01</t>
  </si>
  <si>
    <t>Основы  экосоциогуманизма: Моногр. / В.С.Голубев-М.:НИЦ ИНФРА-М,2022.-158 с.(О)</t>
  </si>
  <si>
    <t>ОСНОВЫ ЭКОСОЦИОГУМАНИЗМА</t>
  </si>
  <si>
    <t>Голубев В.С.</t>
  </si>
  <si>
    <t>978-5-16-017476-1</t>
  </si>
  <si>
    <t>37.03.01, 47.06.01</t>
  </si>
  <si>
    <t>МЕЖДУНАРОДНЫЙ НАУЧНО-ИССЛЕДОВАТЕЛЬСКИЙ ИНСТИТУТ ПРОБЛЕМ УПРАВЛЕНИЯ</t>
  </si>
  <si>
    <t>845596.03.01</t>
  </si>
  <si>
    <t>Основы визажистики / Е.Н.Зубова - М.:НИЦ ИНФРА-М,2026 - 191 с.- (Интересно знать) (п)</t>
  </si>
  <si>
    <t>ОСНОВЫ ВИЗАЖИСТИКИ</t>
  </si>
  <si>
    <t>Зубова Е.Н.</t>
  </si>
  <si>
    <t>978-5-16-020478-9</t>
  </si>
  <si>
    <t>43.02.17</t>
  </si>
  <si>
    <t>854455.01.01</t>
  </si>
  <si>
    <t>Основы гражданского права КНР: Моногр./ Е.А.Кириллова - М.:НИЦ ИНФРА-М,2026. - 210 с.(о)</t>
  </si>
  <si>
    <t>ОСНОВЫ ГРАЖДАНСКОГО ПРАВА КИТАЙСКОЙ НАРОДНОЙ РЕСПУБЛИКИ</t>
  </si>
  <si>
    <t>978-5-16-020944-9</t>
  </si>
  <si>
    <t>152250.10.01</t>
  </si>
  <si>
    <t>Основы инновационного материаловедения: Моногр. / О.С.Сироткин - М.:НИЦ ИНФРА-М,2025 - 157 с.(Науч.мысль)(о)</t>
  </si>
  <si>
    <t>ОСНОВЫ ИННОВАЦИОННОГО МАТЕРИАЛОВЕДЕНИЯ</t>
  </si>
  <si>
    <t>Сироткин О.С.</t>
  </si>
  <si>
    <t>978-5-16-009755-8</t>
  </si>
  <si>
    <t>04.03.02, 04.04.02, 18.05.01, 22.03.01, 22.04.01</t>
  </si>
  <si>
    <t>Казанский государственный энергетический университет</t>
  </si>
  <si>
    <t>809878.01.01</t>
  </si>
  <si>
    <t>Основы качеств. теории динамич. сис...: Моногр. / С.П.Горбиков-М.:НИЦ ИНФРА-М,2024.-193 с.(о)</t>
  </si>
  <si>
    <t>ОСНОВЫ КАЧЕСТВЕННОЙ ТЕОРИИ ДИНАМИЧЕСКИХ СИСТЕМ С УДАРНЫМИ ВЗАИМОДЕЙСТВИЯМИ.</t>
  </si>
  <si>
    <t>Горбиков С.П.</t>
  </si>
  <si>
    <t>978-5-16-019030-3</t>
  </si>
  <si>
    <t>15.03.03, 15.04.03, 15.06.01</t>
  </si>
  <si>
    <t>845614.04.01</t>
  </si>
  <si>
    <t>Основы мастерства публич. общения: Науч.-поп. изд. / Г.С.Обухова - М.:НИЦ ИНФРА-М,2025. - 99 с. [12+](о)</t>
  </si>
  <si>
    <t>ОСНОВЫ МАСТЕРСТВА ПУБЛИЧНОГО ОБЩЕНИЯ</t>
  </si>
  <si>
    <t>Обухова Г.С., Климова Г.Л.</t>
  </si>
  <si>
    <t>978-5-16-020480-2</t>
  </si>
  <si>
    <t>38.03.05, 41.03.06, 42.03.01, 44.03.01, 51.03.06</t>
  </si>
  <si>
    <t>243600.06.01</t>
  </si>
  <si>
    <t>Основы правового регулирования застр. земель: Моногр. / Е.С.Болтанова - РИОР: ИНФРА-М, 2022-268с. (о)</t>
  </si>
  <si>
    <t>ОСНОВЫ ПРАВОВОГО РЕГУЛИРОВАНИЯ ЗАСТРОЙКИ ЗЕМЕЛЬ</t>
  </si>
  <si>
    <t>978-5-369-01293-2</t>
  </si>
  <si>
    <t>07.03.04, 07.04.04, 08.05.01, 40.03.01, 40.04.01</t>
  </si>
  <si>
    <t>243600.07.01</t>
  </si>
  <si>
    <t>Основы правового регулирования застройки земель: монография / Е.С.Болтанова, - 2-е изд.-М.:ИЦ РИОР, НИЦ ИНФРА-М,2024.-287 с..-(Науч.мысль)(о)</t>
  </si>
  <si>
    <t>ОСНОВЫ ПРАВОВОГО РЕГУЛИРОВАНИЯ ЗАСТРОЙКИ ЗЕМЕЛЬ, ИЗД.2</t>
  </si>
  <si>
    <t>978-5-369-01958-0</t>
  </si>
  <si>
    <t>734723.04.01</t>
  </si>
  <si>
    <t>Основы процесса доказ. в свете суд. прак. по уголов. делам / Е.В.Брянская - М.:НИЦ ИНФРА-М,2025. - 222 с.(О)</t>
  </si>
  <si>
    <t>ОСНОВЫ ПРОЦЕССА ДОКАЗЫВАНИЯ В СВЕТЕ СУДЕБНОЙ ПРАКТИКИ ПО УГОЛОВНЫМ ДЕЛАМ</t>
  </si>
  <si>
    <t>Брянская Е.В., Алтунина А.А.</t>
  </si>
  <si>
    <t>978-5-16-016218-8</t>
  </si>
  <si>
    <t>404900.11.01</t>
  </si>
  <si>
    <t>Основы публичного права: Монография / М.Ориу - М.:НИЦ ИНФРА-М,2024 - 574 с.-(Науч.мысль)(П)</t>
  </si>
  <si>
    <t>ОСНОВЫ ПУБЛИЧНОГО ПРАВА</t>
  </si>
  <si>
    <t>Ориу М.</t>
  </si>
  <si>
    <t>978-5-16-011647-1</t>
  </si>
  <si>
    <t>800200.02.01</t>
  </si>
  <si>
    <t>Основы стилевой дидактики в совр. шк.: Моногр. / С.А.Старченко - М.:НИЦ ИНФРА-М,2025. - 214 с.(о)</t>
  </si>
  <si>
    <t>ОСНОВЫ СТИЛЕВОЙ ДИДАКТИКИ В СОВРЕМЕННОЙ ШКОЛЕ</t>
  </si>
  <si>
    <t>Старченко С.А.</t>
  </si>
  <si>
    <t>978-5-16-018356-5</t>
  </si>
  <si>
    <t>44.03.05, 44.04.01, 44.06.01</t>
  </si>
  <si>
    <t>Троицкий педагогический колледж</t>
  </si>
  <si>
    <t>850517.02.01</t>
  </si>
  <si>
    <t>Основы теории корпоратив. закупок: Моногр. / О.А.Беляева - М.:Юр. НОРМА, НИЦ ИНФРА-М,2026. - 240 с.(п)</t>
  </si>
  <si>
    <t>ОСНОВЫ ТЕОРИИ КОРПОРАТИВНЫХ ЗАКУПОК</t>
  </si>
  <si>
    <t>Беляева О.А.</t>
  </si>
  <si>
    <t>978-5-00156-419-5</t>
  </si>
  <si>
    <t>813938.01.01</t>
  </si>
  <si>
    <t>Основы теории сложности: Моногр. / В.Я.Цветков-М.:НИЦ ИНФРА-М,2024.-145 с.(Науч.мысль)(о)</t>
  </si>
  <si>
    <t>ОСНОВЫ ТЕОРИИ СЛОЖНОСТИ</t>
  </si>
  <si>
    <t>Цветков В.Я.</t>
  </si>
  <si>
    <t>978-5-16-019346-5</t>
  </si>
  <si>
    <t>01.04.02, 02.03.02</t>
  </si>
  <si>
    <t>850114.01.01</t>
  </si>
  <si>
    <t>Основы теории юридической аномии: Моногр. / Под. ред.Д.А. Липинского - М.:ИЦ РИОР, НИЦ ИНФРА-М,2025. - 406 с.(п)</t>
  </si>
  <si>
    <t>ОСНОВЫ ТЕОРИИ ЮРИДИЧЕСКОЙ АНОМИИ</t>
  </si>
  <si>
    <t>Липинский Д.А., Малько А.В., Маркунин Р.С. и др.</t>
  </si>
  <si>
    <t>978-5-369-01983-2</t>
  </si>
  <si>
    <t>823761.01.01</t>
  </si>
  <si>
    <t>Основы философии права: Моногр. / А.Г.Чернявский - М.:НИЦ ИНФРА-М,2025. - 336 с.(Науч.мысль)(п)</t>
  </si>
  <si>
    <t>ОСНОВЫ ФИЛОСОФИИ ПРАВА</t>
  </si>
  <si>
    <t>978-5-16-019941-2</t>
  </si>
  <si>
    <t>846300.02.01</t>
  </si>
  <si>
    <t>Основы финансовой грамотности: Научно-поп. изд. / А.П.Гарнов - М.:НИЦ ИНФРА-М,2025 - 192 с. [16+](п)</t>
  </si>
  <si>
    <t>ОСНОВЫ ФИНАНСОВОЙ ГРАМОТНОСТИ</t>
  </si>
  <si>
    <t>Гарнов А.П.</t>
  </si>
  <si>
    <t>978-5-16-020491-8</t>
  </si>
  <si>
    <t>846333.04.01</t>
  </si>
  <si>
    <t>Основы флористики / И.С.Шевченко - М.:НИЦ ИНФРА-М,2026 - 269 с.(Интересно знать) [16+](п)</t>
  </si>
  <si>
    <t>ОСНОВЫ ФЛОРИСТИКИ</t>
  </si>
  <si>
    <t>Шевченко И.С.</t>
  </si>
  <si>
    <t>978-5-16-020494-9</t>
  </si>
  <si>
    <t>43.01.11</t>
  </si>
  <si>
    <t>646099.05.01</t>
  </si>
  <si>
    <t>Основы формальной картографии: Моногр. / Ю.А.Кравченко - М.:НИЦ ИНФРА-М,2025. - 158 с.-(Науч.мысль)(П)</t>
  </si>
  <si>
    <t>ОСНОВЫ ФОРМАЛЬНОЙ КАРТОГРАФИИ</t>
  </si>
  <si>
    <t>Кравченко Ю.А.</t>
  </si>
  <si>
    <t>978-5-16-012720-0</t>
  </si>
  <si>
    <t>05.03.03, 05.03.04, 05.04.03, 21.03.02, 21.03.03, 35.03.03, 44.03.05</t>
  </si>
  <si>
    <t>Новосибирский государственный архитектурно-строительный университет (Сибстрин)</t>
  </si>
  <si>
    <t>278200.07.01</t>
  </si>
  <si>
    <t>Основы эвалюации в упр.качеством обр.: Моногр. / М.В.Гуськова - М.:НИЦ ИНФРА-М,2022 - 204 с.(Науч.мысль)(о)</t>
  </si>
  <si>
    <t>ОСНОВЫ ЭВАЛЮАЦИИ В УПРАВЛЕНИИ КАЧЕСТВОМ ОБРАЗОВАНИЯ</t>
  </si>
  <si>
    <t>Гуськова М.В.</t>
  </si>
  <si>
    <t>978-5-16-009807-4</t>
  </si>
  <si>
    <t>856281.02.01</t>
  </si>
  <si>
    <t>Особенности  воен. преступ. ВС США и Великобритании.../ Под ред. Хутин А.Ф. - М.:НИЦ ИНФРА-М,2025. - 210 с.(п)</t>
  </si>
  <si>
    <t>ОСОБЕННОСТИ ВОЕННЫХ ПРЕСТУПЛЕНИЙ ВООРУЖЕННЫХ СИЛ США И ВЕЛИКОБРИТАНИИ В ВОЙНАХ КОНЦА ХХ — НАЧАЛА ХХI В.</t>
  </si>
  <si>
    <t>Палецких А.В., Хутин А.Ф.</t>
  </si>
  <si>
    <t>978-5-16-020976-0</t>
  </si>
  <si>
    <t>40.05.01, 40.05.02, 40.05.04, 40.06.01, 41.04.05</t>
  </si>
  <si>
    <t>Московское высшее общевойсковое командное орденов Ленина и Октябрьской революции Краснознаменное училище</t>
  </si>
  <si>
    <t>727943.01.01</t>
  </si>
  <si>
    <t>Особенности влияния узлов соединения набора на...  / М.А.Москаленко.-М.:НИЦ ИНФРА-М,2023.-195 с.(О)</t>
  </si>
  <si>
    <t>ОСОБЕННОСТИ ВЛИЯНИЯ УЗЛОВ СОЕДИНЕНИЯ НАБОРА НА НЕСУЩУЮ СПОСОБНОСТЬ БОРТОВЫХ ПЕРЕКРЫТИЙ СУДОВ ЛЕДОВОГО ПЛАВАНИЯ</t>
  </si>
  <si>
    <t>Москаленко М.А., Друзь И.Б., Москаленко В.М.</t>
  </si>
  <si>
    <t>978-5-16-017729-8</t>
  </si>
  <si>
    <t>26.05.01, 26.06.01</t>
  </si>
  <si>
    <t>Морской государственный университет им. адм. Г.И. Невельского</t>
  </si>
  <si>
    <t>806084.01.01</t>
  </si>
  <si>
    <t>Особенности гелотофобии (страха насмешки)...: Моногр. / Д.А.Шуненков.-М.:НИЦ ИНФРА-М,2023.-207 с.(п)</t>
  </si>
  <si>
    <t>ОСОБЕННОСТИ ГЕЛОТОФОБИИ (СТРАХА НАСМЕШКИ) ПРИ ПСИХИЧЕСКИХ РАССТРОЙСТВАХ НЕВРОТИЧЕСКОГО УРОВНЯ</t>
  </si>
  <si>
    <t>Шуненков Д.А., Худяков А.В., Иванова Е.М.</t>
  </si>
  <si>
    <t>978-5-16-018814-0</t>
  </si>
  <si>
    <t>30.05.01, 30.05.02, 30.05.03, 31.05.02, 31.06.01, 31.07.01, 31.08.20, 31.08.22, 32.05.01, 37.03.01, 37.05.01, 37.05.02, 44.05.01</t>
  </si>
  <si>
    <t>Психиатрическая клиническая больница №1 им.Н.А.Алексеева</t>
  </si>
  <si>
    <t>828886.01.01</t>
  </si>
  <si>
    <t>Особенности ист. развития добровольчества (волонтер.) в... / Н.И.Горлова - М.:НИЦ ИНФРА-М,2025. - 217 с(о)</t>
  </si>
  <si>
    <t>ОСОБЕННОСТИ ИСТОРИЧЕСКОГО РАЗВИТИЯ ДОБРОВОЛЬЧЕСТВА (ВОЛОНТЕРСТВА) В СОВЕТСКОЙ РОССИИ И СССР</t>
  </si>
  <si>
    <t>Горлова Н.И., Старовойтова Л.И., Касьянов В.В.</t>
  </si>
  <si>
    <t>978-5-16-019988-7</t>
  </si>
  <si>
    <t>05.04.06, 39.03.02, 49.04.01</t>
  </si>
  <si>
    <t>284400.05.01</t>
  </si>
  <si>
    <t>Особенности проф. подготовки женщин...: Моногр. / С.Д.Резник-М.:НИЦ ИНФРА-М,2024-148с.(О)</t>
  </si>
  <si>
    <t>ОСОБЕННОСТИ ПРОФЕССИОНАЛЬНОЙ ПОДГОТОВКИ ЖЕНЩИН К ПРАКТИЧЕСКОЙ ДЕЯТЕЛЬНОСТИ В СФЕРЕ МЕНЕДЖМЕНТА И БИЗНЕСА</t>
  </si>
  <si>
    <t>Резник С. Д., Макарова С. Н.</t>
  </si>
  <si>
    <t>978-5-16-009910-1</t>
  </si>
  <si>
    <t>38.03.02, 38.04.02, 41.03.06</t>
  </si>
  <si>
    <t>641997.05.01</t>
  </si>
  <si>
    <t>Особенности проф.-ориентир.обуч.в компет.обр. простр.: Моногр/Е.А.Макарова-М.:НИЦ ИНФРА-М,2024-128с.</t>
  </si>
  <si>
    <t>ОСОБЕННОСТИ ПРОФЕССИОНАЛЬНО-ОРИЕНТИРОВАННОГО ОБУЧЕНИЯ В КОМПЕТЕНТНОСТНОМ ОБРАЗОВАТЕЛЬНОМ ПРОСТРАНСТВЕ</t>
  </si>
  <si>
    <t>Макарова Е.А., Макарова Е.Л.</t>
  </si>
  <si>
    <t>978-5-16-012617-3</t>
  </si>
  <si>
    <t>Таганрогский институт управления и экономики</t>
  </si>
  <si>
    <t>733985.03.01</t>
  </si>
  <si>
    <t>Особенности психологич. базиса чт. умственно отсталых шк...: Моногр. / В.В.Ткачева-М.:НИЦ ИНФРА-М,2024-215с(О)</t>
  </si>
  <si>
    <t>ОСОБЕННОСТИ ПСИХОЛОГИЧЕСКОГО БАЗИСА ЧТЕНИЯ УМСТВЕННО ОТСТАЛЫХ ШКОЛЬНИКОВ СО СЛОЖНЫМИ НАРУШЕНИЯМИ РАЗВИТИЯ</t>
  </si>
  <si>
    <t>Ткачева В.В., Каткова И.А.</t>
  </si>
  <si>
    <t>978-5-16-016440-3</t>
  </si>
  <si>
    <t>44.03.03, 44.04.03, 44.05.01, 44.06.01</t>
  </si>
  <si>
    <t>711087.05.01</t>
  </si>
  <si>
    <t>Особенности расслед. мошенничеств, соверш. раб. банков..: Моногр. / В.Н.Карагодин.-М.:НИЦ ИНФРА-М,2025.-188с(О)</t>
  </si>
  <si>
    <t>ОСОБЕННОСТИ РАССЛЕДОВАНИЯ МОШЕННИЧЕСТВ, СОВЕРШАЕМЫХ РАБОТНИКАМИ БАНКОВ В СФЕРЕ КРЕДИТОВАНИЯ</t>
  </si>
  <si>
    <t>Карагодин В.Н., Карепанов Г.Н., Карепанов Н.В.</t>
  </si>
  <si>
    <t>978-5-16-015878-5</t>
  </si>
  <si>
    <t>802576.01.01</t>
  </si>
  <si>
    <t>Особенности рассмотр. индивидуал. труд. споров: Моногр. / А.В.Иглин-М.:НИЦ ИНФРА-М,2024.-168 с.(о)</t>
  </si>
  <si>
    <t>ОСОБЕННОСТИ РАССМОТРЕНИЯ ИНДИВИДУАЛЬНЫХ ТРУДОВЫХ СПОРОВ: СРАВНИТЕЛЬНО-ПРАВОВОЙ АСПЕКТ</t>
  </si>
  <si>
    <t>Иглин А.В., Иглин В.В.</t>
  </si>
  <si>
    <t>978-5-16-018577-4</t>
  </si>
  <si>
    <t>38.05.01, 38.05.02, 40.05.01, 40.05.02, 40.05.03, 40.05.04, 40.06.01</t>
  </si>
  <si>
    <t>Московский финансово-юридический университет</t>
  </si>
  <si>
    <t>684819.04.01</t>
  </si>
  <si>
    <t>Острый аппендицит: Моногр. / А.В.Пугаев - М.:НИЦ ИНФРА-М,2025 - 191 с.:цв.ил.-(Науч.мысль)(П)</t>
  </si>
  <si>
    <t>ОСТРЫЙ АППЕНДИЦИТ</t>
  </si>
  <si>
    <t>978-5-16-014341-5</t>
  </si>
  <si>
    <t>684815.06.01</t>
  </si>
  <si>
    <t>Острый панкреатит: Моногр. / А.В.Пугаев - М.:НИЦ ИНФРА-М,2025. - 263 с.(Науч.мысль)(п)</t>
  </si>
  <si>
    <t>ОСТРЫЙ ПАНКРЕАТИТ</t>
  </si>
  <si>
    <t>978-5-16-014261-6</t>
  </si>
  <si>
    <t>778791.04.01</t>
  </si>
  <si>
    <t>Осуществление гос. и муниципал. закупок...: Моногр. / В.А.Перов-М.:НИЦ ИНФРА-М,2025.-219 с.(Науч.мысль)(О)</t>
  </si>
  <si>
    <t>ОСУЩЕСТВЛЕНИЕ ГОСУДАРСТВЕННЫХ И МУНИЦИПАЛЬНЫХ ЗАКУПОК НЕКОНКУРЕНТНЫМИ СПОСОБАМИ (ЗАКУПКИ У ЕДИНСТВЕННОГО ПОСТАВЩИКА): ОЦЕНКА ЭКОНОМИЧЕСКОЙ ЭФФЕКТИВНОСТИ</t>
  </si>
  <si>
    <t>Перов В.А., Шибанова А.А.</t>
  </si>
  <si>
    <t>978-5-16-017735-9</t>
  </si>
  <si>
    <t>38.04.04, 38.04.05, 38.05.01, 38.06.01, 40.04.01, 40.06.01</t>
  </si>
  <si>
    <t>816579.01.01</t>
  </si>
  <si>
    <t>От теизма — к эготеизму: генезис отнош. чел. и Бога: Моногр. / Е.Ф.Казаков-М.:НИЦ ИНФРА-М,2024.-211 с.(п)</t>
  </si>
  <si>
    <t>ОТ ТЕИЗМА — К ЭГОТЕИЗМУ: ГЕНЕЗИС ОТНОШЕНИЙ ЧЕЛОВЕКА И БОГА</t>
  </si>
  <si>
    <t>978-5-16-019395-3</t>
  </si>
  <si>
    <t>47.03.01, 47.03.03, 47.04.01, 47.06.01, 48.03.01, 48.04.01, 48.06.01</t>
  </si>
  <si>
    <t>384000.09.01</t>
  </si>
  <si>
    <t>Ответственность за наруш.антимонопол..: Моногр. / С.В.Максимов - М.:Юр.Норма,НИЦ ИНФРА-М,2025 - 144 с.(О)</t>
  </si>
  <si>
    <t>ОТВЕТСТВЕННОСТЬ ЗА НАРУШЕНИЯ АНТИМОНОПОЛЬНОГО ЗАКОНОДАТЕЛЬСТВА: ПРОБЛЕМЫ ТЕОРИИ И ПРАКТИКИ</t>
  </si>
  <si>
    <t>Максимов С.В., Пузыревский С.А.</t>
  </si>
  <si>
    <t>978-5-91768-731-5</t>
  </si>
  <si>
    <t>Профессиональное образование / ВО - Кадры высшей квалификации / Аспирантура</t>
  </si>
  <si>
    <t>38.03.04, 40.03.01, 40.05.01, 40.05.02, 40.05.03, 40.05.04, 40.06.01, 44.03.05</t>
  </si>
  <si>
    <t>464750.07.01</t>
  </si>
  <si>
    <t>Ответственность за окруж. среду и возмещ. экологич...: Моногр./Л.И.Брославский-М.:НИЦ ИНФРА-М,2025-229с.(П)</t>
  </si>
  <si>
    <t>ОТВЕТСТВЕННОСТЬ ЗА ОКРУЖАЮЩУЮ СРЕДУ И ВОЗМЕЩЕНИЕ ЭКОЛОГИЧЕСКОГО ВРЕДА: ЗАКОНЫ И РЕАЛИИ РОССИИ, США И ЕВРОСОЮЗА</t>
  </si>
  <si>
    <t>Брославский Л. И.</t>
  </si>
  <si>
    <t>978-5-16-020427-7</t>
  </si>
  <si>
    <t>05.03.06, 05.04.06, 40.03.01, 40.04.01</t>
  </si>
  <si>
    <t>144900.07.01</t>
  </si>
  <si>
    <t>Отечественная история: Курс лекций / С.П.Бычков-М.:Форум, НИЦ ИНФРА-М,2024.-320 с.(ВО)(п)</t>
  </si>
  <si>
    <t>ОТЕЧЕСТВЕННАЯ ИСТОРИЯ. КУРС ЛЕКЦИЙ</t>
  </si>
  <si>
    <t>Бычков С. П., Дусь Ю. П.</t>
  </si>
  <si>
    <t>978-5-91134-490-0</t>
  </si>
  <si>
    <t>00.03.04, 00.05.04</t>
  </si>
  <si>
    <t>833290.01.01</t>
  </si>
  <si>
    <t>Отечественное судопроизвод. по делам об админ.: Моногр./ С.В.Щепалов-М.:Юр. НОРМА, НИЦ ИНФРА-М,2024-220с(п)</t>
  </si>
  <si>
    <t>ОТЕЧЕСТВЕННОЕ СУДОПРОИЗВОДСТВО ПО ДЕЛАМ ОБ АДМИНИСТРАТИВНЫХ ПРАВОНАРУШЕНИЯХ: ВОЗНИКНОВЕНИЕ И РАЗВИТИЕ</t>
  </si>
  <si>
    <t>Щепалов С.В.</t>
  </si>
  <si>
    <t>978-5-00156-377-8</t>
  </si>
  <si>
    <t>40.03.01, 40.04.01, 40.05.04</t>
  </si>
  <si>
    <t>333300.05.01</t>
  </si>
  <si>
    <t>Открытое правительство за рубежом...: Моногр. / Н.М.Касаткина.- М.:НИЦ ИНФРА-М,2022 - 210 с.(ИЗиСП)(П)</t>
  </si>
  <si>
    <t>ОТКРЫТОЕ ПРАВИТЕЛЬСТВО ЗА РУБЕЖОМ. ПРАВОВОЕ РЕГУЛИРОВАНИЕ И ПРАКТИКА</t>
  </si>
  <si>
    <t>Касаткина Н.М., Крысенкова Н.Б., Лещенков Ф.А. и др.</t>
  </si>
  <si>
    <t>978-5-16-010642-7</t>
  </si>
  <si>
    <t>249500.05.01</t>
  </si>
  <si>
    <t>Отношение к соц. реальности в рос. обществе: Моногр. / В.И.Чупров - М: Юр.Норма,НИЦ ИНФРА-М,2022 - 352 с(п)</t>
  </si>
  <si>
    <t>ОТНОШЕНИЕ К СОЦИАЛЬНОЙ РЕАЛЬНОСТИ В РОССИЙСКОМ ОБЩЕСТВЕ: СОЦИОКУЛЬТУРНЫЙ МЕХАНИЗМ ФОРМИРОВАНИЯ И ВОСПРОИЗВОДСТВА</t>
  </si>
  <si>
    <t>Чупров В. И., Зубок Ю. А., Романович Н. А.</t>
  </si>
  <si>
    <t>978-5-91768-444-4</t>
  </si>
  <si>
    <t>39.03.01, 39.04.01, 47.03.02</t>
  </si>
  <si>
    <t>766455.03.01</t>
  </si>
  <si>
    <t>Отсыпка отвалов скальных вскрышных пород...: Моногр. / А.А.Шершнев - М.:НИЦ ИНФРА-М, СФУ,2025 - 131 с.(О)</t>
  </si>
  <si>
    <t>ОТСЫПКА ОТВАЛОВ СКАЛЬНЫХ ВСКРЫШНЫХ ПОРОД ПРИ СКЛАДИРОВАНИИ ОТХОДОВ ОБОГАЩЕНИЯ</t>
  </si>
  <si>
    <t>Шершнев А.А., Кисляков В.Е.</t>
  </si>
  <si>
    <t>978-5-16-017265-1</t>
  </si>
  <si>
    <t>21.05.04</t>
  </si>
  <si>
    <t>752878.04.01</t>
  </si>
  <si>
    <t>Офшорная Россия в глобальной экономике: моногр. / А.Г.Бодров - М.:НИЦ ИНФРА-М,2025 - 355 с.(Науч.мысль)(П)</t>
  </si>
  <si>
    <t>ОФШОРНАЯ РОССИЯ В ГЛОБАЛЬНОЙ ЭКОНОМИКЕ</t>
  </si>
  <si>
    <t>Бодров А.Г., Вакурин А.В., Ковнир В.Н.</t>
  </si>
  <si>
    <t>978-5-16-017226-2</t>
  </si>
  <si>
    <t>00.05.13, 38.04.08, 38.06.01</t>
  </si>
  <si>
    <t>342800.04.01</t>
  </si>
  <si>
    <t>Оценка биологических активов молочного скотоводства...: Моногр./Ю.И.Сигидов-М.:НИЦ ИНФРА-М,2023-160с</t>
  </si>
  <si>
    <t>ОЦЕНКА БИОЛОГИЧЕСКИХ АКТИВОВ МОЛОЧНОГО СКОТОВОДСТВА ПО СПРАВЕДЛИВОЙ СТОИМОСТИ</t>
  </si>
  <si>
    <t>Ю.И.Сигидов, М.А.Коровина</t>
  </si>
  <si>
    <t>978-5-16-010768-4</t>
  </si>
  <si>
    <t>35.03.07, 38.03.01</t>
  </si>
  <si>
    <t>676747.02.01</t>
  </si>
  <si>
    <t>Оценка динамич. эффектив. развит. предприним.: Моногр./К.В.Смицких-М.:ИЦ РИОР,НИЦ ИНФРА-М,2020-243с</t>
  </si>
  <si>
    <t>ОЦЕНКА ДИНАМИЧЕСКОЙ ЭФФЕКТИВНОСТИ РАЗВИТИЯ ПРЕДПРИНИМАТЕЛЬСТВА</t>
  </si>
  <si>
    <t>Смицких К.В., Терентьева Т.В.</t>
  </si>
  <si>
    <t>978-5-369-01743-2</t>
  </si>
  <si>
    <t>27.04.07, 40.03.01, 43.03.01</t>
  </si>
  <si>
    <t>391400.08.01</t>
  </si>
  <si>
    <t>Оценка и сертификация квалификаций персонала в сист.: Моногр./Г.М.Романова - М.:КУРС,НИЦ ИНФРА-М,2025 - 208 с.(о)</t>
  </si>
  <si>
    <t>ОЦЕНКА И СЕРТИФИКАЦИЯ КВАЛИФИКАЦИЙ ПЕРСОНАЛА В СИСТЕМЕ ОТРАСЛЕВОГО УПРАВЛЕНИЯ НА ПРИМЕРЕ СФЕРЫ РЕКРЕАЦИИ И СПОРТИВНО-ОЗДОРОВИТЕЛЬНОГО ТУРИЗМА</t>
  </si>
  <si>
    <t>Романова Г.М., Савельева Н.А.</t>
  </si>
  <si>
    <t>978-5-905554-81-0</t>
  </si>
  <si>
    <t>23.03.01, 38.03.01, 38.03.03, 41.03.06, 44.03.01, 51.03.02</t>
  </si>
  <si>
    <t>675224.04.01</t>
  </si>
  <si>
    <t>Оценка корруп.рисков компании: Моногр./ Ю.В.Трунцевский-М.:НИЦ ИНФРА-М, ИЗиСП,2022.-272с(ИЗиСП)(П)</t>
  </si>
  <si>
    <t>ОЦЕНКА КОРРУПЦИОННЫХ РИСКОВ КОМПАНИИ</t>
  </si>
  <si>
    <t>Трунцевский Ю.В., Карпович О.Г.</t>
  </si>
  <si>
    <t>978-5-16-013520-5</t>
  </si>
  <si>
    <t>859404.01.01</t>
  </si>
  <si>
    <t>Оценка ответной реакции скелетной мускулатуры на..: Моногр. / Е.М.Кильдюшов.-М.:Юр. НОРМА,2025.-98 с.(о)</t>
  </si>
  <si>
    <t>ОЦЕНКА ОТВЕТНОЙ РЕАКЦИИ СКЕЛЕТНОЙ МУСКУЛАТУРЫ НА МЕХАНИЧЕСКОЕ РАЗДРАЖЕНИЕ ПРИ ОПРЕДЕЛЕНИИ ДАВНОСТИ НАСТУПЛЕНИЯ СМЕРТИ ДЕТЕЙ</t>
  </si>
  <si>
    <t>Кильдюшов Е.М., Туманов Э.В., Услонцев Д.Н.</t>
  </si>
  <si>
    <t>978-5-00156-444-7</t>
  </si>
  <si>
    <t>31.05.01, 31.05.02, 31.05.03, 40.05.01, 40.05.02, 40.05.03, 40.05.04, 40.06.01</t>
  </si>
  <si>
    <t>Российский национальный исследовательский медицинский университет им. Н.И. Пирогова</t>
  </si>
  <si>
    <t>473250.05.01</t>
  </si>
  <si>
    <t>Оценка относительного ущерба безоп. информ. сис.: Моногр. / Е.А.Дубинин - М:РИОР:ИНФРА-М,2024 - 192 с (о)</t>
  </si>
  <si>
    <t>ОЦЕНКА ОТНОСИТЕЛЬНОГО УЩЕРБА БЕЗОПАСНОСТИ ИНФОРМАЦИОННОЙ СИСТЕМЫ</t>
  </si>
  <si>
    <t>Дубинин Е.А., Тебуева Ф.Б., Копытов В.В.</t>
  </si>
  <si>
    <t>978-5-369-01371-7</t>
  </si>
  <si>
    <t>09.03.03, 10.03.01, 10.04.01, 10.05.02, 10.05.04, 10.05.05, 38.03.05</t>
  </si>
  <si>
    <t>803464.01.01</t>
  </si>
  <si>
    <t>Оценка сост. и перспектив развития образоват. орг.: Моногр./Н.В.Васильченко-М.:НИЦ ИНФРА-М,2024.-189 с.(о)</t>
  </si>
  <si>
    <t>ОЦЕНКА СОСТОЯНИЯ И ПЕРСПЕКТИВ РАЗВИТИЯ ОБРАЗОВАТЕЛЬНЫХ ОРГАНИЗАЦИЙ: ТЕОРИЯ И ПРАКТИКА</t>
  </si>
  <si>
    <t>Васильченко Н.В., Ломакина Т.Ю.</t>
  </si>
  <si>
    <t>978-5-16-019086-0</t>
  </si>
  <si>
    <t>44.03.01, 44.04.01, 44.04.02, 44.06.01</t>
  </si>
  <si>
    <t>821918.01.01</t>
  </si>
  <si>
    <t>Оценка устойчивого формир. проф. знаний в...: Моногр. / М.В.Герман - М.:НИЦ ИНФРА-М,2025. - 237 с.(п)</t>
  </si>
  <si>
    <t>ОЦЕНКА УСТОЙЧИВОГО ФОРМИРОВАНИЯ ПРОФЕССИОНАЛЬНЫХ ЗНАНИЙ В КОНТЕКСТЕ ДОСТОЙНОГО ТРУДА</t>
  </si>
  <si>
    <t>Герман М.В., Нехода Е.В.</t>
  </si>
  <si>
    <t>978-5-16-019951-1</t>
  </si>
  <si>
    <t>791869.01.01</t>
  </si>
  <si>
    <t>Очерки методики преподавания рус.яз. как иностр. / Под ред. Милуд М.Р. - М.:НИЦ ИНФРА-М,2024.-137 с.(о)</t>
  </si>
  <si>
    <t>ОЧЕРКИ МЕТОДИКИ ПРЕПОДАВАНИЯ РУССКОГО ЯЗЫКА КАК ИНОСТРАННОГО</t>
  </si>
  <si>
    <t>Гезайли Н., Милуд М.Р.</t>
  </si>
  <si>
    <t>978-5-16-018114-1</t>
  </si>
  <si>
    <t>44.04.01, 44.04.02, 44.04.04, 44.06.01, 45.04.01, 45.06.01</t>
  </si>
  <si>
    <t>652087.06.01</t>
  </si>
  <si>
    <t>Очерки по истории методики обуч. математ. (до 1917г.): Моногр. / О.А.Саввина-М:НИЦ ИНФРА-М,2025-189с(п)</t>
  </si>
  <si>
    <t>ОЧЕРКИ ПО ИСТОРИИ МЕТОДИКИ ОБУЧЕНИЯ МАТЕМАТИКЕ (ДО 1917Г.)</t>
  </si>
  <si>
    <t>Саввина О.А.</t>
  </si>
  <si>
    <t>978-5-16-012615-9</t>
  </si>
  <si>
    <t>44.03.01, 44.03.03, 44.03.05</t>
  </si>
  <si>
    <t>087450.10.01</t>
  </si>
  <si>
    <t>Очерки уголовной политики / М.П. Чубинский. - М.: ИНФРА-М, 2025 - 435 с. (Б-ка криминолога) (п)</t>
  </si>
  <si>
    <t>ОЧЕРКИ УГОЛОВНОЙ ПОЛИТИКИ</t>
  </si>
  <si>
    <t>Чубинский М. П., Овчинский В. С., Федоров А. В.</t>
  </si>
  <si>
    <t>978-5-16-003181-1</t>
  </si>
  <si>
    <t>725256.03.01</t>
  </si>
  <si>
    <t>Очистка газовоздушных выбросов: Моногр. / А.В.Луканин - М.:НИЦ ИНФРА-М,2022 - 200 с.-(Науч.мысль)(О)</t>
  </si>
  <si>
    <t>ОЧИСТКА ГАЗОВОЗДУШНЫХ ВЫБРОСОВ</t>
  </si>
  <si>
    <t>Луканин А.В.</t>
  </si>
  <si>
    <t>978-5-16-015935-5</t>
  </si>
  <si>
    <t>484450.07.01</t>
  </si>
  <si>
    <t>Очистка сточных вод: кинетика флотации..: Моногр. / Б.С.Ксенофонтов - М.:ИД Форум, НИЦ ИНФРА-М,2026. - 256 с.(о)</t>
  </si>
  <si>
    <t>ОЧИСТКА СТОЧНЫХ ВОД: КИНЕТИКА ФЛОТАЦИИ И ФЛОТОКОМБАЙНЫ</t>
  </si>
  <si>
    <t>978-5-8199-0618-7</t>
  </si>
  <si>
    <t>20.03.01, 20.03.02, 20.04.01, 20.04.02</t>
  </si>
  <si>
    <t>750867.01.01</t>
  </si>
  <si>
    <t>Очистка сточных вод: новые модели флотации...: Моногр. / Б.С.Ксенофонтов - М.:НИЦ ИНФРА-М,2021-203 с(О)</t>
  </si>
  <si>
    <t>ОЧИСТКА СТОЧНЫХ ВОД: НОВЫЕ МОДЕЛИ ФЛОТАЦИИ И ФЛОТОКОМБАЙНЫ ТИПА КБС И СПЕЦИАЛЬНОГО НАЗНАЧЕНИЯ</t>
  </si>
  <si>
    <t>978-5-16-016773-2</t>
  </si>
  <si>
    <t>696941.06.01</t>
  </si>
  <si>
    <t>Ошибки в понятиях и проведении следств. действий: Моногр./ Е.С.Лапин-М.:НИЦ ИНФРА-М,2024-214 с.(П)</t>
  </si>
  <si>
    <t>ОШИБКИ В ПОНЯТИЯХ И ПРОВЕДЕНИИ СЛЕДСТВЕННЫХ ДЕЙСТВИЙ</t>
  </si>
  <si>
    <t>Лапин Е.С.</t>
  </si>
  <si>
    <t>978-5-16-014726-0</t>
  </si>
  <si>
    <t>169050.11.01</t>
  </si>
  <si>
    <t>Памятники ист. и культуры: правовой статус..: Моногр. / Л.Р.Клебанов - 3 изд. - М.:Юр.Норма, НИЦ ИНФРА-М, 2025 -168 с.(п)</t>
  </si>
  <si>
    <t>ПАМЯТНИКИ ИСТОРИИ И КУЛЬТУРЫ: ПРАВОВОЙ СТАТУС И ОХРАНА, ИЗД.3</t>
  </si>
  <si>
    <t>Клебанов Л. Р.</t>
  </si>
  <si>
    <t>978-5-00156-104-0</t>
  </si>
  <si>
    <t>40.03.01, 40.04.01, 51.03.01, 51.03.03, 51.03.04</t>
  </si>
  <si>
    <t>169050.05.01</t>
  </si>
  <si>
    <t>Памятники истории и культуры: прав. статус...: Моногр./Л.Р.Клебанов - 2 изд.-М.:Юр.Норма, НИЦ ИНФРА-М, 2020-160с.(О)</t>
  </si>
  <si>
    <t>ПАМЯТНИКИ ИСТОРИИ И КУЛЬТУРЫ: ПРАВОВОЙ СТАТУС И ОХРАНА, ИЗД.2</t>
  </si>
  <si>
    <t>978-5-91768-548-9</t>
  </si>
  <si>
    <t>656388.04.01</t>
  </si>
  <si>
    <t>Памятники книжного эпоса Запада и Востока: Моногр. / С.Ю.Неклюдов - М.:НИЦ ИНФРА-М,2024 - 482 с.(о)</t>
  </si>
  <si>
    <t>ПАМЯТНИКИ КНИЖНОГО ЭПОСА ЗАПАДА И ВОСТОКА</t>
  </si>
  <si>
    <t>Неклюдов С.Ю., Петров Н.В., Аникеева Т.А. и др.</t>
  </si>
  <si>
    <t>978-5-16-019430-1</t>
  </si>
  <si>
    <t>45.00.00, 44.03.05, 45.06.01, 45.07.01, 51.03.02</t>
  </si>
  <si>
    <t>824327.01.01</t>
  </si>
  <si>
    <t>Память и природа психики: Моногр. / Л.В.Черемошкина - М.:НИЦ ИНФРА-М,2025 - 356 с.(Науч.мысль)(п)</t>
  </si>
  <si>
    <t>ПАМЯТЬ И ПРИРОДА ПСИХИКИ</t>
  </si>
  <si>
    <t>Черемошкина Л.В.</t>
  </si>
  <si>
    <t>978-5-16-020289-1</t>
  </si>
  <si>
    <t>37.04.01, 37.05.01, 37.05.02</t>
  </si>
  <si>
    <t>824423.01.01</t>
  </si>
  <si>
    <t>Память, воля и судьба Мира и России: Моногр. / В.К.Захаров-М.:НИЦ ИНФРА-М,2024.-632 с.(п)</t>
  </si>
  <si>
    <t>ПАМЯТЬ, ВОЛЯ И СУДЬБА МИРА И РОССИИ</t>
  </si>
  <si>
    <t>Захаров В.К.</t>
  </si>
  <si>
    <t>978-5-16-019767-8</t>
  </si>
  <si>
    <t>38.04.01, 38.04.02, 38.04.04, 38.06.01, 39.04.01, 39.06.01, 41.04.04, 41.04.05, 41.06.01, 46.04.01, 46.06.01, 47.04.01, 47.06.01</t>
  </si>
  <si>
    <t>747393.01.01</t>
  </si>
  <si>
    <t>Панантропея: Монография / С.В.Борзых - М.:НИЦ ИНФРА-М,2021 - 147 с.(Науч.мысль)(О)</t>
  </si>
  <si>
    <t>ПАНАНТРОПЕЯ</t>
  </si>
  <si>
    <t>978-5-16-016704-6</t>
  </si>
  <si>
    <t>352000.06.01</t>
  </si>
  <si>
    <t>Параметрическая устойчив.и качество...: Моногр. / В.Н.Мирянова -М.:Вуз.уч.,НИЦ ИНФРА-М,2024-166с.(о)</t>
  </si>
  <si>
    <t>ПАРАМЕТРИЧЕСКАЯ УСТОЙЧИВОСТЬ И КАЧЕСТВО СИСТЕМ УПРАВЛЕНИЯ ТЕПЛОВЫМИ ОБЪЕКТАМИ С РАСПРЕДЕЛЕННЫМИ ПАРАМЕТРАМИ</t>
  </si>
  <si>
    <t>Мирянова В.Н.</t>
  </si>
  <si>
    <t>978-5-9558-0492-7</t>
  </si>
  <si>
    <t>13.00.00, 26.00.00, 13.04.01, 26.03.02, 26.04.02</t>
  </si>
  <si>
    <t>809284.01.01</t>
  </si>
  <si>
    <t>Парижский парламент средневековой Франции...: Моногр. / Е.Г.Коган-М.:Юр. НОРМА,2023.-160 с.(п)</t>
  </si>
  <si>
    <t>ПАРИЖСКИЙ ПАРЛАМЕНТ СРЕДНЕВЕКОВОЙ ФРАНЦИИ: ЮРИДИЧЕСКИЕ АСПЕКТЫ ОРГАНИЗАЦИИ И ДЕЯТЕЛЬНОСТИ</t>
  </si>
  <si>
    <t>Коган Е.Г.</t>
  </si>
  <si>
    <t>978-5-00156-320-4</t>
  </si>
  <si>
    <t>40.03.01, 40.04.01, 41.03.04</t>
  </si>
  <si>
    <t>796736.01.01</t>
  </si>
  <si>
    <t>Парниковые газы: утилизация с использ. биотехнол. установок: Моногр. / Б.С.Ксенофонтов-М.:НИЦ ИНФРА-М,2023-225с.(п)</t>
  </si>
  <si>
    <t>ПАРНИКОВЫЕ ГАЗЫ: УТИЛИЗАЦИЯ С ИСПОЛЬЗОВАНИЕМ БИОТЕХНОЛОГИЧЕСКИХ УСТАНОВОК</t>
  </si>
  <si>
    <t>978-5-16-018177-6</t>
  </si>
  <si>
    <t>06.06.01, 20.06.01, 35.04.04, 35.06.01</t>
  </si>
  <si>
    <t>706977.02.01</t>
  </si>
  <si>
    <t>Патоморфологический и молекулярно-биологич. анализ... / Т.М.Черданцева.-М.:НИЦ ИНФРА-М,2023-230с(П)</t>
  </si>
  <si>
    <t>ПАТОМОРФОЛОГИЧЕСКИЙ И МОЛЕКУЛЯРНО-БИОЛОГИЧЕСКИЙ АНАЛИЗ ПОЧЕЧНО-КЛЕТОЧНОГО РАКА. ДИАГНОСТИКА И ПРОГНОЗ</t>
  </si>
  <si>
    <t>Черданцева Т.М., Климачев В.В., Бобров И.П. и др.</t>
  </si>
  <si>
    <t>978-5-16-015251-6</t>
  </si>
  <si>
    <t>31.05.01, 31.06.01, 31.07.01, 31.08.57</t>
  </si>
  <si>
    <t>334800.05.01</t>
  </si>
  <si>
    <t>Педагогика Махабхараты: Монография / А.А.Гагаев - М.:ИЦ РИОР,ИНФРА-М,2025. - 246 с.(Научная мысль)(О)</t>
  </si>
  <si>
    <t>ПЕДАГОГИКА МАХАБХАРАТЫ</t>
  </si>
  <si>
    <t>Гагаев А.А., Гагаев П.А.</t>
  </si>
  <si>
    <t>978-5-369-01421-9</t>
  </si>
  <si>
    <t>40.03.01, 44.03.01, 44.03.04, 44.03.05, 44.04.02</t>
  </si>
  <si>
    <t>170950.06.01</t>
  </si>
  <si>
    <t>Педагогика рус. богослов. мысли: Моногр. / А.А. Гагаев - 2 изд-М:ИЦ РИОР,НИЦ ИНФРА-М,2023-191с(Науч.мысль)(О)</t>
  </si>
  <si>
    <t>ПЕДАГОГИКА РУССКОЙ БОГОСЛОВСКОЙ МЫСЛИ, ИЗД.2</t>
  </si>
  <si>
    <t>978-5-369-01512-4</t>
  </si>
  <si>
    <t>44.03.01, 44.03.04, 44.03.05, 44.04.04, 46.03.01, 46.04.01, 47.03.03, 47.04.03, 48.03.01, 48.04.01</t>
  </si>
  <si>
    <t>707164.04.01</t>
  </si>
  <si>
    <t>Педагогика: Моногр. / Я.С.Турбовской - М.:НИЦ ИНФРА-М,2026. - 209 с.(Науч.мысль)(О)</t>
  </si>
  <si>
    <t>ПЕДАГОГИКА</t>
  </si>
  <si>
    <t>978-5-16-016499-1</t>
  </si>
  <si>
    <t>44.03.01, 44.04.01, 44.04.02, 44.04.03, 44.04.04, 44.05.01, 44.06.01</t>
  </si>
  <si>
    <t>646398.04.01</t>
  </si>
  <si>
    <t>Педагогические аспекты проблемы обесп. безоп. детей..:Моногр./Л.Л.Тимофеева-М.:НИЦ ИНФРА-М,2024-205с</t>
  </si>
  <si>
    <t>ПЕДАГОГИЧЕСКИЕ АСПЕКТЫ ПРОБЛЕМЫ ОБЕСПЕЧЕНИЯ БЕЗОПАСНОСТИ ДЕТЕЙ: ИСТОРИКО-КУЛЬТУРНЫЙ АНАЛИЗ</t>
  </si>
  <si>
    <t>Тимофеева Л.Л.</t>
  </si>
  <si>
    <t>978-5-16-014039-1</t>
  </si>
  <si>
    <t>Институт развития образования, Орловская область</t>
  </si>
  <si>
    <t>798749.01.01</t>
  </si>
  <si>
    <t>Педагогические условия формир. проф. компетентности учителя... / С.С.Савельева-М.:НИЦ ИНФРА-М,2023-215с(п)</t>
  </si>
  <si>
    <t>ПЕДАГОГИЧЕСКИЕ УСЛОВИЯ ФОРМИРОВАНИЯ ПРОФЕССИОНАЛЬНОЙ КОМПЕТЕНТНОСТИ УЧИТЕЛЯ В ОБРАЗОВАТЕЛЬНОМ ПРОЦЕССЕ ВУЗА</t>
  </si>
  <si>
    <t>Савельева С.С.</t>
  </si>
  <si>
    <t>978-5-16-018240-7</t>
  </si>
  <si>
    <t>Государственный социально-гуманитарный университет</t>
  </si>
  <si>
    <t>489200.10.01</t>
  </si>
  <si>
    <t>Педагогический словарь: Словарь / И.П.Андриади - М.:НИЦ ИНФРА-М,2025-224с.(Б-ка.сл."Инфра-М")(П)</t>
  </si>
  <si>
    <t>ПЕДАГОГИЧЕСКИЙ СЛОВАРЬ</t>
  </si>
  <si>
    <t>Андриади И.П., Темина С.Ю.</t>
  </si>
  <si>
    <t>978-5-16-011752-2</t>
  </si>
  <si>
    <t>44.03.01, 44.03.02, 44.03.05, 44.04.01, 44.04.02, 44.05.01</t>
  </si>
  <si>
    <t>765084.01.01</t>
  </si>
  <si>
    <t>Педагогический терминологич. словарь / И.А.Тютькова - М.:НИЦ ИНФРА-М,2025. - 186 с.(Б-ка сл. ИНФРА-М) [12+](п)</t>
  </si>
  <si>
    <t>ПЕДАГОГИЧЕСКИЙ ТЕРМИНОЛОГИЧЕСКИЙ СЛОВАРЬ</t>
  </si>
  <si>
    <t>Тютькова И.А.</t>
  </si>
  <si>
    <t>978-5-16-020073-6</t>
  </si>
  <si>
    <t>44.03.01, 44.03.02, 44.03.03, 44.03.04, 44.03.05, 44.04.01, 44.04.02, 44.04.03, 44.04.04, 44.05.01, 44.06.01, 44.07.01, 44.07.02</t>
  </si>
  <si>
    <t>064350.02.01</t>
  </si>
  <si>
    <t>Педиатрия / В.А. Доскин. - М.: Энциклопедия, 2008. - 384 с. - (Справ. практ. врача). (карм. формат) (п)</t>
  </si>
  <si>
    <t>ПЕДИАТРИЯ</t>
  </si>
  <si>
    <t>Доскин В. А.</t>
  </si>
  <si>
    <t>Справочники практического врача</t>
  </si>
  <si>
    <t>5-94802-010-X</t>
  </si>
  <si>
    <t>Российская медицинская академия непрерывного профессионального образования</t>
  </si>
  <si>
    <t>681270.05.01</t>
  </si>
  <si>
    <t>Пенсионные накопления в России: кризис...: Моногр. / Т.Я.Хабриева.-М.:НИЦ ИНФРА-М,2021.-240 с.(О)</t>
  </si>
  <si>
    <t>ПЕНСИОННЫЕ НАКОПЛЕНИЯ В РОССИИ: КРИЗИС ОЖИДАНИЯ ИЛИ НОВЫЕ ВОЗМОЖНОСТИ</t>
  </si>
  <si>
    <t>Хабриева Т.Я., Воронин Ю.В., Емельянцев В.П. и др.</t>
  </si>
  <si>
    <t>978-5-16-016033-7</t>
  </si>
  <si>
    <t>816778.01.01</t>
  </si>
  <si>
    <t>Пенсионный возраст: правовая природа...: Монография / Ю.В.Воронин-М.:Юр. НОРМА,2024.-84 с.(о)</t>
  </si>
  <si>
    <t>ПЕНСИОННЫЙ ВОЗРАСТ: ПРАВОВАЯ ПРИРОДА, РОЛЬ И ЗНАЧЕНИЕ В СИСТЕМЕ ПЕНСИОННОГО ОБЕСПЕЧЕНИЯ</t>
  </si>
  <si>
    <t>Воронин Ю.В.</t>
  </si>
  <si>
    <t>978-5-00156-340-2</t>
  </si>
  <si>
    <t>39.04.02, 39.06.01, 40.04.01, 40.06.01</t>
  </si>
  <si>
    <t>399900.08.01</t>
  </si>
  <si>
    <t>Переработка и утилизация крупнотоннажных.. : Моногр. / А.Н.Гребенкин - М.:НИЦ ИНФРА-М,2025 - 128 с.(О)</t>
  </si>
  <si>
    <t>ПЕРЕРАБОТКА И УТИЛИЗАЦИЯ КРУПНОТОННАЖНЫХ ТВЕРДЫХ ЦЕЛЛЮЛОЗОСОДЕРЖАЩИХ ОТХОДОВ</t>
  </si>
  <si>
    <t>Гребенкин А.Н., Гребенкин А.А., Демидов А.В. и др.</t>
  </si>
  <si>
    <t>978-5-16-011286-2</t>
  </si>
  <si>
    <t>18.03.01, 18.03.02, 18.04.01, 18.04.02, 44.03.05</t>
  </si>
  <si>
    <t>Санкт-Петербургский государственный университет промышленных технологий и дизайна</t>
  </si>
  <si>
    <t>672610.03.01</t>
  </si>
  <si>
    <t>Переработка флюоритсодерж. минерал. сырья и отходов:Моногр./ С.Б.Ярусова-М.:ИЦ РИОР,НИЦ ИНФРА-М,2021-115с</t>
  </si>
  <si>
    <t>ПЕРЕРАБОТКА ФЛЮОРИТСОДЕРЖАЩЕГО МИНЕРАЛЬНОГО СЫРЬЯ И ОТХОДОВ ЯРОСЛАВСКОГО КОМБИНАТА</t>
  </si>
  <si>
    <t>Ярусова С.Б.</t>
  </si>
  <si>
    <t>978-5-369-01734-0</t>
  </si>
  <si>
    <t>22.03.01</t>
  </si>
  <si>
    <t>410700.06.01</t>
  </si>
  <si>
    <t>Перколяционный анализ гидродинам. и электрокинет..:Моногр./В.В.Кадет-М: Инфра-М,2023-256с(Науч.мыс.) (о)</t>
  </si>
  <si>
    <t>ПЕРКОЛЯЦИОННЫЙ АНАЛИЗ ГИДРОДИНАМИЧЕСКИХ И ЭЛЕКТРОКИНЕТИЧЕСКИХ ПРОЦЕССОВ В ПОРИСТЫХ СРЕДАХ</t>
  </si>
  <si>
    <t>Кадет В. В.</t>
  </si>
  <si>
    <t>978-5-16-005613-5</t>
  </si>
  <si>
    <t>20.03.01, 21.03.01, 21.04.01, 21.05.01, 21.05.02, 21.05.03, 21.05.04, 21.05.05, 21.05.06</t>
  </si>
  <si>
    <t>860644.01.01</t>
  </si>
  <si>
    <t>Персонализированное адаптив. обуч. в цифр. среде вуза / Ю.В.Вайнштейн - М.:НИЦ ИНФРА-М, СФУ,2026. - 194 с.(п)</t>
  </si>
  <si>
    <t>ПЕРСОНАЛИЗИРОВАННОЕ АДАПТИВНОЕ ОБУЧЕНИЕ В ЦИФРОВОЙ СРЕДЕ ВУЗА</t>
  </si>
  <si>
    <t>Вайнштейн Ю.В.</t>
  </si>
  <si>
    <t>978-5-16-021346-0</t>
  </si>
  <si>
    <t>44.04.01</t>
  </si>
  <si>
    <t>272100.06.01</t>
  </si>
  <si>
    <t>Персональный состав городовых приказчиков и губных...: Моногр. / А.П.Синелобов - М:ИНФРА-М,2025-174с.</t>
  </si>
  <si>
    <t>ПЕРСОНАЛЬНЫЙ СОСТАВ ГОРОДОВЫХ ПРИКАЗЧИКОВ И ГУБНЫХ СТАРОСТ МОСКОВСКОГО ГОСУДАРСТВА XVI-XVII ВВ.</t>
  </si>
  <si>
    <t>Синелобов А. П.</t>
  </si>
  <si>
    <t>978-5-16-009673-5</t>
  </si>
  <si>
    <t>44.04.01, 46.04.01</t>
  </si>
  <si>
    <t>737557.04.01</t>
  </si>
  <si>
    <t>Персоноцентризм в классич. рус. лит. XIX в.: Моногр. / А.Н.Андреев - М.:НИЦ ИНФРА-М,2025 - 430 с.(О)</t>
  </si>
  <si>
    <t>ПЕРСОНОЦЕНТРИЗМ В КЛАССИЧЕСКОЙ РУССКОЙ ЛИТЕРАТУРЕ XIX ВЕКА. ДИАЛЕКТИКА ХУДОЖЕСТВЕННОГО СОЗНАНИЯ</t>
  </si>
  <si>
    <t>Андреев А.Н.</t>
  </si>
  <si>
    <t>978-5-16-016307-9</t>
  </si>
  <si>
    <t>794801.02.01</t>
  </si>
  <si>
    <t>Перспективные инстр.поддержки и разв. экономики электр../ А.В.Аверин.-М.:НИЦ ИНФРА-М,2024.-166 с(о)</t>
  </si>
  <si>
    <t>ПЕРСПЕКТИВНЫЕ ИНСТРУМЕНТЫ ПОДДЕРЖКИ И РАЗВИТИЯ ЭКОНОМИКИ ЭЛЕКТРОННЫХ ИГР И КИБЕРСПОРТА В РОССИИ</t>
  </si>
  <si>
    <t>Аверин А.В., Поздняков К.К., Григорьева В.В. и др.</t>
  </si>
  <si>
    <t>978-5-16-018303-9</t>
  </si>
  <si>
    <t>38.03.01, 38.04.02, 38.06.01</t>
  </si>
  <si>
    <t>855181.01.01</t>
  </si>
  <si>
    <t>Перспективы и совр. сост. конституц. развития России...: Моногр. / А.Д.Керимов-М.:Юр. НОРМА,2025.-60 с.(о)</t>
  </si>
  <si>
    <t>ПЕРСПЕКТИВЫ И СОВРЕМЕННОЕ СОСТОЯНИЕ КОНСТИТУЦИОННОГО РАЗВИТИЯ РОССИИ В СВЕТЕ ВОЗРОЖДЕНИЯ СОЦИАЛИСТИЧЕСКОГО ОБЩЕСТВЕННОГО ПОРЯДКА</t>
  </si>
  <si>
    <t>Керимов А.Д.</t>
  </si>
  <si>
    <t>978-5-00156-436-2</t>
  </si>
  <si>
    <t>670057.03.01</t>
  </si>
  <si>
    <t>Петрология и структ. полож. интрузив. траппов..:Моногр. / С.Н.Прусская-М:НИЦ ИНФРА-М,СФУ,2023-159с(П)</t>
  </si>
  <si>
    <t>ПЕТРОЛОГИЯ И СТРУКТУРНОЕ ПОЛОЖЕНИЕ ИНТРУЗИВНЫХ ТРАППОВ ЗАПАДА СИБИРСКОЙ ПЛАТФОРМЫ</t>
  </si>
  <si>
    <t>Прусская С.Н.</t>
  </si>
  <si>
    <t>978-5-16-013361-4</t>
  </si>
  <si>
    <t>21.05.02, 21.06.02</t>
  </si>
  <si>
    <t>656452.04.01</t>
  </si>
  <si>
    <t>Пищевые волокна:  функц.-технолог. свойства: Моногр. / Н.В.Неповинных - М.:НИЦ ИНФРА-М,2022 - 204 с.(П)</t>
  </si>
  <si>
    <t>ПИЩЕВЫЕ ВОЛОКНА:  ФУНКЦИОНАЛЬНО-ТЕХНОЛОГИЧЕСКИЕ  СВОЙСТВА И ПРИМЕНЕНИЕ  В ТЕХНОЛОГИЯХ ПРОДУКТОВ ПИТАНИЯ НА ОСНОВЕ МОЛОЧНОЙ СЫВОРОТКИ</t>
  </si>
  <si>
    <t>Неповинных Н.В., Птичкина Н.М.</t>
  </si>
  <si>
    <t>978-5-16-012853-5</t>
  </si>
  <si>
    <t>19.03.02, 19.03.04, 19.04.02, 19.04.04, 19.04.05</t>
  </si>
  <si>
    <t>Саратовский государственный университет генетики, биотехнологии и инженерии имени Н.И. Вавилова</t>
  </si>
  <si>
    <t>400650.04.01</t>
  </si>
  <si>
    <t>Платон: Монография / В.С.Нерсесянц - 2 изд. - М.: Юр.Норма, НИЦ ИНФРА-М,2018 - 112 с.(О)</t>
  </si>
  <si>
    <t>ПЛАТОН</t>
  </si>
  <si>
    <t>978-5-91768-306-5</t>
  </si>
  <si>
    <t>400650.09.01</t>
  </si>
  <si>
    <t>Платон: монография / В.С.Нерсесянц, - 2 изд. - М.:Юр. НОРМА, НИЦ ИНФРА-М,2025. - 112 с.(о)</t>
  </si>
  <si>
    <t>ПЛАТОН, ИЗД.2</t>
  </si>
  <si>
    <t>670461.05.01</t>
  </si>
  <si>
    <t>Плоские и простр. цельнодер. и деревомет. фермы..: Моногр. / П.А.Дмитриев - М:НИЦ ИНФРА-М, СФУ,2025 - 173 с.(п)</t>
  </si>
  <si>
    <t>ПЛОСКИЕ И ПРОСТРАНСТВЕННЫЕ ЦЕЛЬНОДЕРЕВЯННЫЕ И ДЕРЕВОМЕТАЛЛИЧЕСКИЕ ФЕРМЫ ДЛЯ ПОКРЫТИЯ ЗДАНИЙ. ОШИБКИ ПРОЕКТИРОВАНИЯ И ИЗГОТОВЛЕНИЯ</t>
  </si>
  <si>
    <t>Дмитриев П.А.</t>
  </si>
  <si>
    <t>978-5-16-017483-9</t>
  </si>
  <si>
    <t>08.04.01, 08.06.01</t>
  </si>
  <si>
    <t>843272.01.01</t>
  </si>
  <si>
    <t>Плоские фермы. Прогибы и частоты колебаний: Справ. / М.Н.Кирсанов - М.:НИЦ ИНФРА-М,2025. - 196 с.(п)</t>
  </si>
  <si>
    <t>ПЛОСКИЕ ФЕРМЫ. ПРОГИБЫ И ЧАСТОТЫ КОЛЕБАНИЙ</t>
  </si>
  <si>
    <t>Кирсанов М.Н.</t>
  </si>
  <si>
    <t>978-5-16-020432-1</t>
  </si>
  <si>
    <t>08.03.01, 08.04.01, 08.05.02</t>
  </si>
  <si>
    <t>Московский энергетический институт</t>
  </si>
  <si>
    <t>792103.01.01</t>
  </si>
  <si>
    <t>Плоские фермы. Схемы и расчетные формулы: справ. Т. 2 / М.Н.Кирсанов-М.:НИЦ ИНФРА-М,2023.-285 с.(п)</t>
  </si>
  <si>
    <t>ПЛОСКИЕ ФЕРМЫ. СХЕМЫ И РАСЧЕТНЫЕ ФОРМУЛЫ: СПРАВОЧНИК. ТОМ 2, Т.2</t>
  </si>
  <si>
    <t>978-5-16-018185-1</t>
  </si>
  <si>
    <t>08.02.01, 08.03.01, 08.04.01, 08.05.01, 08.05.02, 08.05.03, 08.06.01</t>
  </si>
  <si>
    <t>799025.01.01</t>
  </si>
  <si>
    <t>Плоские фермы. Схемы и расчетные формулы: Справ. Т. 3 / М.Н.Кирсанов-М.:НИЦ ИНФРА-М,2023.-178 с.(п)</t>
  </si>
  <si>
    <t>ПЛОСКИЕ ФЕРМЫ. СХЕМЫ И РАСЧЕТНЫЕ ФОРМУЛЫ: СПРАВОЧНИК. ТОМ 3, Т.3</t>
  </si>
  <si>
    <t>978-5-16-018250-6</t>
  </si>
  <si>
    <t>08.02.01, 08.03.01, 08.04.01, 08.05.02</t>
  </si>
  <si>
    <t>699890.04.01</t>
  </si>
  <si>
    <t>Плоские фермы. Схемы и расчетные формулы: Т/ 1 / М.Н.Кирсанов - М.:НИЦ ИНФРА-М,2023 - 238 с.(П) [12+]</t>
  </si>
  <si>
    <t>ПЛОСКИЕ ФЕРМЫ. СХЕМЫ И РАСЧЕТНЫЕ ФОРМУЛЫ: СПРАВОЧНИК. ТОМ 1, Т.1</t>
  </si>
  <si>
    <t>978-5-16-014829-8</t>
  </si>
  <si>
    <t>07.02.01, 08.02.01, 08.02.02, 08.02.03, 08.02.04, 08.02.08, 08.02.09, 08.02.12, 08.02.13, 08.02.14, 08.03.01, 08.04.01, 08.05.01, 08.05.02, 08.05.03, 08.06.01, 11.02.06, 12.02.01, 12.02.03, 12.02.04, 12.02.05, 12.02.07, 12.02.08, 12.02.09, 13.02.01, 13.02.02, 13.02.04, 13.02.05, 13.02.07, 13.02.08, 13.02.09, 13.02.12, 13.02.13, 14.02.01, 14.02.02, 15.02.01, 15.02.03, 15.02.04, 15.02.06, 15.02.07, 15.02.09, 15.02.10, 15.02.16, 15.02.17, 15.02.18, 15.02.19, 18.02.10, 18.02.13, 19.02.11, 19.02.12, 20.02.02, 20.02.04, 20.02.06, 21.01.08, 21.01.17, 21.02.01, 21.02.02, 21.02.03, 21.02.09, 21.02.12, 21.02.14, 21.02.15, 21.02.16, 21.02.17, 21.02.18, 22.02.08, 23.01.02, 23.02.01, 23.02.02, 23.02.03, 23.02.04, 23.02.05, 23.02.06, 23.02.07, 23.02.08, 24.02.01, 24.02.02, 24.02.04, 25.02.01, 25.02.02, 25.02.03, 25.02.04, 25.02.05, 25.02.06, 25.02.07, 25.02.08, 26.02.04, 27.02.02, 27.02.04, 27.02.07, 29.02.05, 29.02.08, 29.02.11, 35.02.02, 35.02.07, 35.02.08, 35.02.11, 35.02.16, 35.02.18, 44.02.06</t>
  </si>
  <si>
    <t>664182.03.01</t>
  </si>
  <si>
    <t>Плоский металлодиэлектр.волновод и устр..:Моногр./ И.Л.Афонин-М.:Вуз.уч., НИЦ ИНФРА-М,2019-128с</t>
  </si>
  <si>
    <t>ПЛОСКИЙ МЕТАЛЛОДИЭЛЕКТРИЧЕСКИЙ ВОЛНОВОД И УСТРОЙСТВА НА ЕГО ОСНОВЕ</t>
  </si>
  <si>
    <t>Афонин И.Л., Бугаёв П.А., Боков Г.В.</t>
  </si>
  <si>
    <t>978-5-9558-0586-3</t>
  </si>
  <si>
    <t>11.03.01, 11.04.01</t>
  </si>
  <si>
    <t>788255.01.01</t>
  </si>
  <si>
    <t>По следам живого слова: Моногр. / А.И.Лазарев-М.:НИЦ ИНФРА-М,2024.-330 с.(Науч.мысль)(п)</t>
  </si>
  <si>
    <t>ПО СЛЕДАМ ЖИВОГО СЛОВА</t>
  </si>
  <si>
    <t>Лазарев А.И.</t>
  </si>
  <si>
    <t>978-5-16-018364-0</t>
  </si>
  <si>
    <t>44.04.01, 44.04.04, 44.06.01, 45.04.01, 45.06.01</t>
  </si>
  <si>
    <t>682879.06.01</t>
  </si>
  <si>
    <t>По страницам романа «Дворянское гнездо»: особ. идиостиля И.С.Тургенева / Т.П.Ковина-М.:НИЦ ИНФРА-М,2024-184с(о)</t>
  </si>
  <si>
    <t>ПО СТРАНИЦАМ РОМАНА «ДВОРЯНСКОЕ ГНЕЗДО»: ОСОБЕННОСТИ ИДИОСТИЛЯ И.С. ТУРГЕНЕВА</t>
  </si>
  <si>
    <t>Ковина Т.П.</t>
  </si>
  <si>
    <t>978-5-16-014041-4</t>
  </si>
  <si>
    <t>45.03.01, 45.03.02, 45.04.01, 45.04.02, 45.04.03</t>
  </si>
  <si>
    <t>Московский государственный технологический университет "Станкин"</t>
  </si>
  <si>
    <t>646258.08.01</t>
  </si>
  <si>
    <t>Поведенческая экономика, или почему в России хотим как..: Моногр. / Н.И.Захаров - М.:НИЦ ИНФРА-М,2025 - 213 с.(о)</t>
  </si>
  <si>
    <t>ПОВЕДЕНЧЕСКАЯ ЭКОНОМИКА, ИЛИ ПОЧЕМУ В РОССИИ ХОТИМ КАК ЛУЧШЕ, А ПОЛУЧАЕТСЯ КАК ВСЕГДА</t>
  </si>
  <si>
    <t>Захаров Н.И.</t>
  </si>
  <si>
    <t>978-5-16-020763-6</t>
  </si>
  <si>
    <t>392700.04.01</t>
  </si>
  <si>
    <t>Поверхностно-ионизационная дрейф-спектрометрия: Моногр./ В.И.Капустин-М.:НИЦ ИНФРА-М,2023.-286 с.(О)</t>
  </si>
  <si>
    <t>ПОВЕРХНОСТНО-ИОНИЗАЦИОННАЯ ДРЕЙФ-СПЕКТРОМЕТРИЯ</t>
  </si>
  <si>
    <t>В.И.Капустин, А.П.Коржавый</t>
  </si>
  <si>
    <t>978-5-16-011215-2</t>
  </si>
  <si>
    <t>03.04.02, 05.03.06, 05.04.06, 11.03.04, 11.04.04, 11.05.01, 12.03.01, 12.04.01, 12.05.01, 16.03.01, 16.04.01, 20.03.01, 20.03.02, 20.04.01</t>
  </si>
  <si>
    <t>791862.03.01</t>
  </si>
  <si>
    <t>Повреждения опорно-двигат. аппарата от перегрузк...: Моногр. / О.С.Васильев. - М.:НИЦ ИНФРА-М,2026. - 299 с.(п)</t>
  </si>
  <si>
    <t>ПОВРЕЖДЕНИЯ ОПОРНО-ДВИГАТЕЛЬНОГО АППАРАТА ОТ ПЕРЕГРУЗКИ В БАЛЕТНОЙ И СПОРТИВНОЙ МЕДИЦИНЕ</t>
  </si>
  <si>
    <t>Васильев О.С., Ачкасов Е.Е., Левушкин С.П.</t>
  </si>
  <si>
    <t>978-5-16-018247-6</t>
  </si>
  <si>
    <t>31.05.01, 31.06.01, 31.07.01, 31.08.66, 49.04.01, 49.04.03, 49.06.01, 49.07.01</t>
  </si>
  <si>
    <t>378800.12.01</t>
  </si>
  <si>
    <t>Повседневная жизнь советск.чел. в эпоху НЭПа: Моногр. /А.Б.Оришев -М.:ИЦ РИОР,НИЦ ИНФРА-М,2024-150с.(о)</t>
  </si>
  <si>
    <t>ПОВСЕДНЕВНАЯ ЖИЗНЬ СОВЕТСКОГО ЧЕЛОВЕКА В ЭПОХУ НЭПА: ИСТОРИОГРАФИЧЕСКИЙ АНАЛИЗ</t>
  </si>
  <si>
    <t>Оришев А.Б., Тарасенко В.Н.</t>
  </si>
  <si>
    <t>978-5-369-01460-8</t>
  </si>
  <si>
    <t>37.03.01, 39.03.01, 39.04.01, 41.03.04, 44.03.01, 44.03.05, 46.03.01, 46.04.01, 47.03.01</t>
  </si>
  <si>
    <t>684750.03.01</t>
  </si>
  <si>
    <t>Повышение доступ.и платеж. услуг за счет разв..: Моногр. / Криворучко С.В.-М.:НИЦ ИНФРА-М,2023-157с.</t>
  </si>
  <si>
    <t>ПОВЫШЕНИЕ ДОСТУПНОСТИ ПЛАТЕЖНЫХ УСЛУГ ЗА СЧЕТ РАЗВИТИЯ СИСТЕМ ИДЕНТИФИКАЦИИ ПОЛЬЗОВАТЕЛЕЙ</t>
  </si>
  <si>
    <t>Криворучко С.В., Пономаренко В.Е., Лопатин В.А. и др.</t>
  </si>
  <si>
    <t>978-5-16-014260-9</t>
  </si>
  <si>
    <t>38.03.01, 38.04.01, 38.04.02, 38.04.08</t>
  </si>
  <si>
    <t>669352.01.01</t>
  </si>
  <si>
    <t>Повышение качества  деталей при шлиф. в усл. плавучих мастер.:Моногр. / С.М.Братан-М.:Вуз.уч., НИЦ ИНФРА-М,2018-155с</t>
  </si>
  <si>
    <t>ПОВЫШЕНИЕ КАЧЕСТВА  ДЕТАЛЕЙ ПРИ ШЛИФОВАНИИ В УСЛОВИЯХ ПЛАВУЧИХ МАСТЕРСКИХ</t>
  </si>
  <si>
    <t>Братан С.М., Харченко А.О., Владецкая Е.А. и др.</t>
  </si>
  <si>
    <t>978-5-9558-0598-6</t>
  </si>
  <si>
    <t>15.03.01, 15.03.05, 15.04.04, 15.04.05</t>
  </si>
  <si>
    <t>682006.05.01</t>
  </si>
  <si>
    <t>Повышение энергоэффект. промыш. предп.: Моногр./ Л.А.Федоськина-М.:НИЦ ИНФРА-М,2022-192с(О)</t>
  </si>
  <si>
    <t>ПОВЫШЕНИЕ ЭНЕРГОЭФФЕКТИВНОСТИ ПРОМЫШЛЕННЫХ ПРЕДПРИЯТИЙ НА ОСНОВЕ ФОРМИРОВАНИЯ СИСТЕМЫ ЭНЕРГОМЕНЕДЖМЕНТА</t>
  </si>
  <si>
    <t>Федоськина Л.А., Абрамов Е.И.</t>
  </si>
  <si>
    <t>978-5-16-013802-2</t>
  </si>
  <si>
    <t>740899.02.01</t>
  </si>
  <si>
    <t>Повышение эффектив. инструментов из быстрорежущих сталей...: Моногр. / А.М.Адаскин - М.:НИЦ ИНФРА-М,2025-392с(П)</t>
  </si>
  <si>
    <t>ПОВЫШЕНИЕ ЭФФЕКТИВНОСТИ ИНСТРУМЕНТОВ ИЗ БЫСТРОРЕЖУЩИХ СТАЛЕЙ И ТВЕРДЫХ СПЛАВОВ</t>
  </si>
  <si>
    <t>Адаскин А.М.</t>
  </si>
  <si>
    <t>978-5-16-016868-5</t>
  </si>
  <si>
    <t>15.04.01, 15.04.05, 15.06.01</t>
  </si>
  <si>
    <t>098950.10.01</t>
  </si>
  <si>
    <t>Подготовка рукописи к изданию: Сл.-справ. / Е.Б.Егорова - 2 изд. - М.:Вуз.уч., НИЦ ИНФРА-М,2024-160 с.(О)</t>
  </si>
  <si>
    <t>ПОДГОТОВКА РУКОПИСИ К ИЗДАНИЮ, ИЗД.2</t>
  </si>
  <si>
    <t>Егорова Е.Б.</t>
  </si>
  <si>
    <t>978-5-9558-0474-3</t>
  </si>
  <si>
    <t>42.03.03, 42.04.03</t>
  </si>
  <si>
    <t>470300.07.01</t>
  </si>
  <si>
    <t>Подготовка студентов к обучению в аспирантуре вуза...: Моногр. / С.Д.Резник - М.:НИЦ ИНФРА-М,2024.-157 с (О)</t>
  </si>
  <si>
    <t>ПОДГОТОВКА СТУДЕНТОВ К ОБУЧЕНИЮ В АСПИРАНТУРЕ ВУЗА: СИСТЕМА И МЕХАНИЗМЫ УПРАВЛЕНИЯ</t>
  </si>
  <si>
    <t>Резник С.Д., Устинова Д.В.</t>
  </si>
  <si>
    <t>978-5-16-011570-2</t>
  </si>
  <si>
    <t>38.04.01, 38.04.02, 38.04.03, 38.04.04, 38.04.08, 38.04.09, 38.05.01, 38.05.02</t>
  </si>
  <si>
    <t>261500.06.01</t>
  </si>
  <si>
    <t>Поддержка принятия решений при проект. систем..: Моногр. / В.В.Бухтояров-М.:НИЦ ИНФРА-М,2020-131с(О)</t>
  </si>
  <si>
    <t>ПОДДЕРЖКА ПРИНЯТИЯ РЕШЕНИЙ ПРИ ПРОЕКТИРОВАНИИ СИСТЕМ ЗАЩИТЫ ИНФОРМАЦИИ</t>
  </si>
  <si>
    <t>Ковалев И.В., Золотарев В.В., Жукова М.Н. и др.</t>
  </si>
  <si>
    <t>978-5-16-009519-6</t>
  </si>
  <si>
    <t>01.04.04, 09.03.01, 10.03.01, 10.04.01, 10.05.01, 10.05.02, 10.05.03, 10.05.04, 10.05.05, 10.05.07, 27.03.02, 27.04.03, 46.03.02</t>
  </si>
  <si>
    <t>770931.01.01</t>
  </si>
  <si>
    <t>Подтопление и затопление селитебных территорий: Моногр. / Б.С.Ксенофонтов - М.:НИЦ ИНФРА-М,2022 - 190 с.(О)</t>
  </si>
  <si>
    <t>ПОДТОПЛЕНИЕ И ЗАТОПЛЕНИЕ СЕЛИТЕБНЫХ ТЕРРИТОРИЙ: ВОЗМОЖНЫЕ  ПУТИ РЕШЕНИЯ</t>
  </si>
  <si>
    <t>978-5-16-017431-0</t>
  </si>
  <si>
    <t>07.04.04, 07.09.04, 08.04.01, 08.06.01, 20.04.01, 20.04.02, 20.06.01, 20.07.01</t>
  </si>
  <si>
    <t>809414.01.01</t>
  </si>
  <si>
    <t>Позднеантичная эпистолография латинского Запада..: Моногр. / Е.В.Литовченко-М.:НИЦ ИНФРА-М,2024.-356 с.(п)</t>
  </si>
  <si>
    <t>ПОЗДНЕАНТИЧНАЯ ЭПИСТОЛОГРАФИЯ ЛАТИНСКОГО ЗАПАДА: ЧЕЛОВЕК НА СТЫКЕ ЭПОХ</t>
  </si>
  <si>
    <t>Литовченко Е.В.</t>
  </si>
  <si>
    <t>978-5-16-018937-6</t>
  </si>
  <si>
    <t>44.03.05</t>
  </si>
  <si>
    <t>693950.02.01</t>
  </si>
  <si>
    <t>Покидая пределы этничности... / В.Д.Попков-М.:НИЦ ИНФРА-М,2023.-326 с.(Науч.мысль)(П)</t>
  </si>
  <si>
    <t>ПОКИДАЯ ПРЕДЕЛЫ ЭТНИЧНОСТИ: ПОСТСОВЕТСКАЯ ЭМИГРАЦИЯ В ГЕРМАНИИ</t>
  </si>
  <si>
    <t>Попков В.Д.</t>
  </si>
  <si>
    <t>978-5-16-014565-5</t>
  </si>
  <si>
    <t>775346.02.01</t>
  </si>
  <si>
    <t>Поливалютный стандарт и мировой финанс. рынок: Моногр. / П.В.Алексеев.-М.:НИЦ ИНФРА-М,2024.-208 с.(О)</t>
  </si>
  <si>
    <t>ПОЛИВАЛЮТНЫЙ СТАНДАРТ И МИРОВОЙ ФИНАНСОВЫЙ РЫНОК</t>
  </si>
  <si>
    <t>Алексеев П.В., Антропов В.В., Барабанов В.Ю. и др.</t>
  </si>
  <si>
    <t>978-5-16-017746-5</t>
  </si>
  <si>
    <t>38.04.01, 38.06.01, 41.04.05</t>
  </si>
  <si>
    <t>766880.02.01</t>
  </si>
  <si>
    <t>Полина Абрамовна Лупинская: Вклад в развитие рос. уголов. судопроизводства / П.А.Лупинская-М.:Юр.Норма,2023.-320 с.(П)</t>
  </si>
  <si>
    <t>ПОЛИНА АБРАМОВНА ЛУПИНСКАЯ: ВКЛАД В РАЗВИТИЕ РОССИЙСКОГО УГОЛОВНОГО СУДОПРОИЗВОДСТВА</t>
  </si>
  <si>
    <t>978-5-00156-205-4</t>
  </si>
  <si>
    <t>651734.06.01</t>
  </si>
  <si>
    <t>Политика в сфере обр.в СССР и совр. России: Моногр. /М.Б.Понявина-М.:Вуз.уч.,НИЦ ИНФРА-М,2023-126с</t>
  </si>
  <si>
    <t>ПОЛИТИКА В СФЕРЕ ОБРАЗОВАНИЯ В СССР И СОВРЕМЕННОЙ РОССИИ (ПОЛИТОЛОГИЧЕСКИЙ АНАЛИЗ)</t>
  </si>
  <si>
    <t>Понявина М.Б.</t>
  </si>
  <si>
    <t>Начная книга (ФУ)</t>
  </si>
  <si>
    <t>978-5-9558-0539-9</t>
  </si>
  <si>
    <t>38.03.01, 38.03.04, 40.03.01, 41.04.04, 44.03.01, 44.03.05</t>
  </si>
  <si>
    <t>468950.11.01</t>
  </si>
  <si>
    <t>Политика и Интернет: Моногр. / Г.Л.Акопов - М.:НИЦ ИНФРА-М,2026 - 202 с.(Науч.мысль)(О)</t>
  </si>
  <si>
    <t>ПОЛИТИКА И ИНТЕРНЕТ</t>
  </si>
  <si>
    <t>Акопов Г.Л.</t>
  </si>
  <si>
    <t>978-5-16-009930-9</t>
  </si>
  <si>
    <t>00.03.14, 40.03.01, 40.04.01, 41.04.04, 41.06.01</t>
  </si>
  <si>
    <t>Московский государственный технический университет гражданской авиации</t>
  </si>
  <si>
    <t>661919.01.01</t>
  </si>
  <si>
    <t>Политика инновац.развития: опыт Рос.и ее регион./ Е.Г.Кирсанова-М.:Вуз.уч., НИЦ ИНФРА-М,2017-203с(П)</t>
  </si>
  <si>
    <t>ПОЛИТИКА ИННОВАЦИОННОГО РАЗВИТИЯ: ОПЫТ РОССИИ И ЕЕ РЕГИОНОВ</t>
  </si>
  <si>
    <t>Кирсанова Е.Г.</t>
  </si>
  <si>
    <t>978-5-9558-0596-2</t>
  </si>
  <si>
    <t>02.03.03, 38.03.01, 38.03.03, 38.03.04, 40.03.01, 41.03.05, 41.03.06, 42.03.02, 44.03.01, 44.03.05, 46.04.02, 47.03.01, 50.04.04, 51.04.04</t>
  </si>
  <si>
    <t>818951.03.01</t>
  </si>
  <si>
    <t>Политико-правовое управ. и угрозы сувер. гос.: Моногр. / В.П.Сальников - 2 изд. - М.:НИЦ ИНФРА-М,2026 - 423 с.(п)</t>
  </si>
  <si>
    <t>ПОЛИТИКО-ПРАВОВОЕ УПРАВЛЕНИЕ И УГРОЗЫ СУВЕРЕНИТЕТУ ГОСУДАРСТВА, ИЗД.2</t>
  </si>
  <si>
    <t>Сальников В.П., Гутман М.Ю., Захарцев С.И. и др.</t>
  </si>
  <si>
    <t>978-5-16-019552-0</t>
  </si>
  <si>
    <t>40.05.02, 40.05.03, 40.05.04, 40.06.01, 41.03.02, 44.05.01</t>
  </si>
  <si>
    <t>788038.01.01</t>
  </si>
  <si>
    <t>Политико-правовые взгляды Иоганна Альтузия: Моногр. / А.П.Айзенберг-М.:Юр. НОРМА,2023.-120 с.(О)</t>
  </si>
  <si>
    <t>ПОЛИТИКО-ПРАВОВЫЕ ВЗГЛЯДЫ ИОГАННА АЛЬТУЗИЯ</t>
  </si>
  <si>
    <t>Айзенберг А.П.</t>
  </si>
  <si>
    <t>978-5-00156-264-1</t>
  </si>
  <si>
    <t>40.03.01, 40.04.01, 40.05.01, 40.05.02, 40.05.03, 40.05.04, 40.06.01, 46.03.01</t>
  </si>
  <si>
    <t>695037.02.01</t>
  </si>
  <si>
    <t>Политическая герменевтика: Моногр. / П.Л.Карабущенко-М.:НИЦ ИНФРА-М,2023.-360 с.(Науч.мысль)(П)</t>
  </si>
  <si>
    <t>ПОЛИТИЧЕСКАЯ ГЕРМЕНЕВТИКА</t>
  </si>
  <si>
    <t>978-5-16-014638-6</t>
  </si>
  <si>
    <t>653230.04.01</t>
  </si>
  <si>
    <t>Политическая символика: Монография / В.Э.Багдасарян - М.:НИЦ ИНФРА-М,2022 - 221 с.-(Науч.мысль)(П)</t>
  </si>
  <si>
    <t>ПОЛИТИЧЕСКАЯ СИМВОЛИКА</t>
  </si>
  <si>
    <t>Багдасарян В.Э.</t>
  </si>
  <si>
    <t>978-5-16-012895-5</t>
  </si>
  <si>
    <t>40.03.01, 41.03.04, 41.04.04, 44.03.01, 44.03.05, 51.03.01, 51.04.01</t>
  </si>
  <si>
    <t>802973.01.01</t>
  </si>
  <si>
    <t>Политическая социология повседневности: Моногр. / Л.О.Терновая-М.:НИЦ ИНФРА-М,2023.-393 с.(Науч.мысль)(п)</t>
  </si>
  <si>
    <t>ПОЛИТИЧЕСКАЯ СОЦИОЛОГИЯ ПОВСЕДНЕВНОСТИ</t>
  </si>
  <si>
    <t>978-5-16-018474-6</t>
  </si>
  <si>
    <t>37.03.01, 37.03.02, 39.03.01, 39.03.03, 39.04.01, 39.06.01, 47.04.01</t>
  </si>
  <si>
    <t>478350.05.01</t>
  </si>
  <si>
    <t>Политические произведения: Сб. / О.Шпенглер - М.:НИЦ ИНФРА-М,2024 - 318 с.-(Науч.мысль)(О)</t>
  </si>
  <si>
    <t>ПОЛИТИЧЕСКИЕ ПРОИЗВЕДЕНИЯ</t>
  </si>
  <si>
    <t>978-5-16-010282-5</t>
  </si>
  <si>
    <t>405250.09.01</t>
  </si>
  <si>
    <t>Политические учения Древней Греции: Моногр. / В.С.Нерсесянц - 2 изд. - М: Норма: Инфра-М, 2025 - 272 с.(о)</t>
  </si>
  <si>
    <t>ПОЛИТИЧЕСКИЕ УЧЕНИЯ ДРЕВНЕЙ ГРЕЦИИ, ИЗД.2</t>
  </si>
  <si>
    <t>978-5-91768-315-7</t>
  </si>
  <si>
    <t>40.03.01, 40.04.01, 41.03.04, 41.03.06, 44.03.05</t>
  </si>
  <si>
    <t>700141.03.01</t>
  </si>
  <si>
    <t>Политический конструктивизм правящей партии...: Моногр. / И.А.Анфертьев - М.:НИЦ ИНФРА-М,2023 - 555 с.(П)</t>
  </si>
  <si>
    <t>ПОЛИТИЧЕСКИЙ КОНСТРУКТИВИЗМ ПРАВЯЩЕЙ ПАРТИИ. ПРОГРАММНЫЕ УСТАНОВКИ РСДРП(Б)-РКП(Б)-ВКП(Б). 1917-1930-Е ГОДЫ</t>
  </si>
  <si>
    <t>978-5-16-014874-8</t>
  </si>
  <si>
    <t>41.03.04, 41.04.04, 41.06.01, 46.03.01, 46.04.01, 46.06.01</t>
  </si>
  <si>
    <t>165650.15.01</t>
  </si>
  <si>
    <t>Политический текст...: Моногр. / Под ред. Желтухиной М.Р. - 2 изд.-М.:НИЦ ИНФРА-М,2024.-155с(О)</t>
  </si>
  <si>
    <t>ПОЛИТИЧЕСКИЙ ТЕКСТ: ПСИХОЛИНГВИСТИЧЕСКИЙ АНАЛИЗ ВОЗДЕЙСТВИЯ НА ЭЛЕКТОРАТ, ИЗД.2</t>
  </si>
  <si>
    <t>Репина Е.А., Желтухина М.Р.</t>
  </si>
  <si>
    <t>978-5-16-018190-5</t>
  </si>
  <si>
    <t>37.03.01, 37.04.01, 41.03.04, 41.03.06, 41.04.04, 42.03.01, 42.04.01, 44.03.02, 44.04.02, 45.03.02, 45.04.02</t>
  </si>
  <si>
    <t>165650.12.01</t>
  </si>
  <si>
    <t>Политический текст: психолинг. анализ..: Моногр./ Под ред. Белянин В.П.-М.:НИЦ ИНФРА-М,2022.-90 с.(Науч. мысль)(О)</t>
  </si>
  <si>
    <t>ПОЛИТИЧЕСКИЙ ТЕКСТ: ПСИХОЛИНГВИСТИЧЕСКИЙ АНАЛИЗ ВОЗДЕЙСТВИЯ НА ЭЛЕКТОРАТ</t>
  </si>
  <si>
    <t>Репина Е.А., Шкуратов В.А., Белянин В.П.</t>
  </si>
  <si>
    <t>978-5-16-005215-1</t>
  </si>
  <si>
    <t>777488.01.01</t>
  </si>
  <si>
    <t>Политическое управление: личностное измерение: Моногр. / А.В.Семёнов-М.:НИЦ ИНФРА-М,2022.-160 с.(О)</t>
  </si>
  <si>
    <t>ПОЛИТИЧЕСКОЕ УПРАВЛЕНИЕ: ЛИЧНОСТНОЕ ИЗМЕРЕНИЕ</t>
  </si>
  <si>
    <t>Семёнов А.В.</t>
  </si>
  <si>
    <t>978-5-16-017702-1</t>
  </si>
  <si>
    <t>637304.15.01</t>
  </si>
  <si>
    <t>Положение о порядке прохождения военной службы - 10 изд. - М.:НИЦ ИНФРА-М,2024. - 104 с..-(о)</t>
  </si>
  <si>
    <t>ПОЛОЖЕНИЕ О ПОРЯДКЕ ПРОХОЖДЕНИЯ ВОЕННОЙ СЛУЖБЫ, ИЗД.10</t>
  </si>
  <si>
    <t>978-5-16-020120-7</t>
  </si>
  <si>
    <t>40.00.00, 00.03.01, 00.05.01</t>
  </si>
  <si>
    <t>1024</t>
  </si>
  <si>
    <t>637304.16.01</t>
  </si>
  <si>
    <t>Положение о порядке прохождения военной службы - 11 изд. - М.:НИЦ ИНФРА-М,2025 - 104 с.(о)</t>
  </si>
  <si>
    <t>ПОЛОЖЕНИЕ О ПОРЯДКЕ ПРОХОЖДЕНИЯ ВОЕННОЙ СЛУЖБЫ, ИЗД.11</t>
  </si>
  <si>
    <t>978-5-16-020870-1</t>
  </si>
  <si>
    <t>1125</t>
  </si>
  <si>
    <t>637304.07.01</t>
  </si>
  <si>
    <t>Положение о порядке прохождения военной службы - 5 изд. - М.:НИЦ ИНФРА-М,2021 - 98 с.(О)</t>
  </si>
  <si>
    <t>ПОЛОЖЕНИЕ О ПОРЯДКЕ ПРОХОЖДЕНИЯ ВОЕННОЙ СЛУЖБЫ, ИЗД.5</t>
  </si>
  <si>
    <t>978-5-16-016989-7</t>
  </si>
  <si>
    <t>637304.12.01</t>
  </si>
  <si>
    <t>Положение о порядке прохождения военной службы - 9 изд.-М.:НИЦ ИНФРА-М,2023.-104 с.(о)</t>
  </si>
  <si>
    <t>ПОЛОЖЕНИЕ О ПОРЯДКЕ ПРОХОЖДЕНИЯ ВОЕННОЙ СЛУЖБЫ, ИЗД.9</t>
  </si>
  <si>
    <t>978-5-16-018668-9</t>
  </si>
  <si>
    <t>0923</t>
  </si>
  <si>
    <t>637304.08.01</t>
  </si>
  <si>
    <t>Положение о порядке прохождения военной службы: закон - 6 изд. - М.:НИЦ ИНФРА-М,2021 - 98 с.(О)</t>
  </si>
  <si>
    <t>ПОЛОЖЕНИЕ О ПОРЯДКЕ ПРОХОЖДЕНИЯ ВОЕННОЙ СЛУЖБЫ, ИЗД.6</t>
  </si>
  <si>
    <t>978-5-16-017127-2</t>
  </si>
  <si>
    <t>637304.11.01</t>
  </si>
  <si>
    <t>Положение о порядке прохождения военной службы: закон РФ  - 8-е изд.-М.:НИЦ ИНФРА-М,2022.-100 с.(О)</t>
  </si>
  <si>
    <t>ПОЛОЖЕНИЕ О ПОРЯДКЕ ПРОХОЖДЕНИЯ ВОЕННОЙ СЛУЖБЫ, ИЗД.8</t>
  </si>
  <si>
    <t>978-5-16-017677-2</t>
  </si>
  <si>
    <t>0822</t>
  </si>
  <si>
    <t>637304.10.01</t>
  </si>
  <si>
    <t>Положение о порядке прохождения военной службы: закон рф - 7 изд.-М.:НИЦ ИНФРА-М,2022.-98 с.(О)</t>
  </si>
  <si>
    <t>ПОЛОЖЕНИЕ О ПОРЯДКЕ ПРОХОЖДЕНИЯ ВОЕННОЙ СЛУЖБЫ, ИЗД.7</t>
  </si>
  <si>
    <t>978-5-16-017207-1</t>
  </si>
  <si>
    <t>0721</t>
  </si>
  <si>
    <t>778575.01.01</t>
  </si>
  <si>
    <t>Полумарковские модели профилактики ненадеж...: Моногр. / А.И.Песчанский-М.:НИЦ ИНФРА-М,2022.-267с(О)</t>
  </si>
  <si>
    <t>ПОЛУМАРКОВСКИЕ МОДЕЛИ ПРОФИЛАКТИКИ НЕНАДЕЖНОЙ ОДНОКАНАЛЬНОЙ СИСТЕМЫ ОБСЛУЖИВАНИЯ С ПОТЕРЯМИ</t>
  </si>
  <si>
    <t>Песчанский А.И.</t>
  </si>
  <si>
    <t>978-5-16-017734-2</t>
  </si>
  <si>
    <t>01.04.01, 01.04.03, 01.04.04, 01.06.01, 27.04.04</t>
  </si>
  <si>
    <t>743083.02.01</t>
  </si>
  <si>
    <t>Получатели ренты: прибыли, заработки и неравенство (верхние 20%): Моногр. / П.Михайи-М.:Магистр,2020-176 с.(П)</t>
  </si>
  <si>
    <t>ПОЛУЧАТЕЛИ РЕНТЫ: ПРИБЫЛИ, ЗАРАБОТКИ И НЕРАВЕНСТВО (ВЕРХНИЕ 20%)</t>
  </si>
  <si>
    <t>Михайи П., Селеньи И.</t>
  </si>
  <si>
    <t>978-5-9776-0518-2</t>
  </si>
  <si>
    <t>684577.07.01</t>
  </si>
  <si>
    <t>Польша, Литва, Латвия, Эстония: соц.-эконом. и полит. разв.: Моногр. / А.П.Клемешев-М:НИЦ ИНФРА-М,2024-134с(О)</t>
  </si>
  <si>
    <t>ПОЛЬША, ЛИТВА, ЛАТВИЯ, ЭСТОНИЯ: СОЦИАЛЬНО-ЭКОНОМИЧЕСКОЕ И ПОЛИТИЧЕСКОЕ РАЗВИТИЕ</t>
  </si>
  <si>
    <t>Клемешев А.П.</t>
  </si>
  <si>
    <t>978-5-16-016528-8</t>
  </si>
  <si>
    <t>38.04.01, 41.03.01, 41.03.04, 41.03.05, 41.03.06, 41.04.01, 41.04.04, 41.04.05, 46.04.01</t>
  </si>
  <si>
    <t>767390.02.01</t>
  </si>
  <si>
    <t>Полярный и Приполярный Урал: Путеводитель по перевалам / А.В.Затонский-М.:НИЦ ИНФРА-М,2025.-306 с.:цв.ил.(П)</t>
  </si>
  <si>
    <t>ПОЛЯРНЫЙ И ПРИПОЛЯРНЫЙ УРАЛ: ПУТЕВОДИТЕЛЬ ПО ПЕРЕВАЛАМ</t>
  </si>
  <si>
    <t>Затонский А.В.</t>
  </si>
  <si>
    <t>978-5-16-017579-9</t>
  </si>
  <si>
    <t>Туризм. Путеводители</t>
  </si>
  <si>
    <t>05.03.02, 05.04.02, 41.03.02, 41.04.02, 43.03.02, 43.04.02</t>
  </si>
  <si>
    <t>665933.04.01</t>
  </si>
  <si>
    <t>Понятие и взаимодействие международ. и нац. правов..: Моногр. / В.В.Гаврилов, - 2 изд.-М.:НИЦ ИНФРА-М,2023-224 с.(П)</t>
  </si>
  <si>
    <t>ПОНЯТИЕ И ВЗАИМОДЕЙСТВИЕ МЕЖДУНАРОДНОЙ И НАЦИОНАЛЬНЫХ ПРАВОВЫХ СИСТЕМ, ИЗД.2</t>
  </si>
  <si>
    <t>Гаврилов В.В.</t>
  </si>
  <si>
    <t>978-5-16-013185-6</t>
  </si>
  <si>
    <t>777888.08.01</t>
  </si>
  <si>
    <t>Поощрения в военном управлении..: Моногр. / О.Л.Зорин - М.:НИЦ ИНФРА-М,2025. - 230 с.(Науч.мысль)(П)</t>
  </si>
  <si>
    <t>ПООЩРЕНИЯ В ВОЕННОМ УПРАВЛЕНИИ: ПРАВОВЫЕ ОСНОВЫ И ПСИХОЛОГИЧЕСКИЕ ОСОБЕННОСТИ ИХ ВОЗДЕЙСТВИЯ НА ВОЕННОСЛУЖАЩИХ</t>
  </si>
  <si>
    <t>Зорин О.Л.</t>
  </si>
  <si>
    <t>978-5-16-018139-4</t>
  </si>
  <si>
    <t>56.04.02, 56.04.09, 56.04.12, 56.05.04, 56.07.01</t>
  </si>
  <si>
    <t>642076.08.01</t>
  </si>
  <si>
    <t>Популярная криминология: Моногр. / В.Н.Кудрявцев - М.:Юр.Норма, НИЦ ИНФРА-М,2025 - 166 с.(О)</t>
  </si>
  <si>
    <t>ПОПУЛЯРНАЯ КРИМИНОЛОГИЯ</t>
  </si>
  <si>
    <t>978-5-91768-774-2</t>
  </si>
  <si>
    <t>249400.14.01</t>
  </si>
  <si>
    <t>Портреты преступников: криминол.-психолог. анализ: Моногр. / Ю.М.Антонян - М.:Норма: ИНФРА-М, 2025 - 240 с.(о)</t>
  </si>
  <si>
    <t>ПОРТРЕТЫ ПРЕСТУПНИКОВ: КРИМИНОЛОГО-ПСИХОЛОГИЧЕСКИЙ АНАЛИЗ</t>
  </si>
  <si>
    <t>978-5-91768-443-7</t>
  </si>
  <si>
    <t>822800.02.01</t>
  </si>
  <si>
    <t>Порядок осущ. надзора за соблюд. участниками дорож. движ. треб. законодательства РФ-М.:НИЦ ИНФРА-М,2024.-108 с.(о)</t>
  </si>
  <si>
    <t>ПОРЯДОК ОСУЩЕСТВЛЕНИЯ НАДЗОРА ЗА СОБЛЮДЕНИЕМ УЧАСТНИКАМИ ДОРОЖНОГО ДВИЖЕНИЯ ТРЕБОВАНИЙ ЗАКОНОДАТЕЛЬСТВА РОССИЙСКОЙ ФЕДЕРАЦИИ О БЕЗОПАСНОСТИ ДОРОЖНОГО ДВИЖЕНИЯ</t>
  </si>
  <si>
    <t>978-5-16-019686-2</t>
  </si>
  <si>
    <t>40.02.02, 40.03.01, 40.04.01, 40.05.02</t>
  </si>
  <si>
    <t>736279.04.01</t>
  </si>
  <si>
    <t>Последовательности Фишберна для принятия реш. в экономике / А.В.Сигал - М.:НИЦ ИНФРА-М,2025. - 256 с.(О)</t>
  </si>
  <si>
    <t>ПОСЛЕДОВАТЕЛЬНОСТИ ФИШБЕРНА ДЛЯ ПРИНЯТИЯ РЕШЕНИЙ В ЭКОНОМИКЕ</t>
  </si>
  <si>
    <t>Сигал А.В., Ремесник Е.С.</t>
  </si>
  <si>
    <t>978-5-16-016250-8</t>
  </si>
  <si>
    <t>38.04.01, 38.04.05, 38.06.01</t>
  </si>
  <si>
    <t>242100.14.01</t>
  </si>
  <si>
    <t>Постановка сис. бюджет. управ., или три коорд. бизнеса... / М.М.Панов - М.:НИЦ ИНФРА-М,2026 - 304 с.(П)</t>
  </si>
  <si>
    <t>ПОСТАНОВКА СИСТЕМЫ БЮДЖЕТНОГО УПРАВЛЕНИЯ, ИЛИ ТРИ КООРДИНАТЫ БИЗНЕСА: БДР, БДДС, ББЛ</t>
  </si>
  <si>
    <t>Панов М.М.</t>
  </si>
  <si>
    <t>Просто, кратко, быстро</t>
  </si>
  <si>
    <t>978-5-16-009256-0</t>
  </si>
  <si>
    <t>38.03.01, 38.04.08</t>
  </si>
  <si>
    <t>667705.08.01</t>
  </si>
  <si>
    <t>Постижение природы и сущности чел...:Моногр. / А.А.Туман-Никифоров - М.:НИЦ ИНФРА-М, СФУ,2025-226с(о)</t>
  </si>
  <si>
    <t>ПОСТИЖЕНИЕ ПРИРОДЫ И СУЩНОСТИ ЧЕЛОВЕКА: ОТ ФИЛОСОФСКОЙ АНТРОПОЛОГИИ ДО ГУМАНОЛОГИИ</t>
  </si>
  <si>
    <t>Туман-Никифоров А.А., Туман-Никифорова И.О.</t>
  </si>
  <si>
    <t>978-5-16-018249-0</t>
  </si>
  <si>
    <t>Красноярский Государственный Аграрный Университет</t>
  </si>
  <si>
    <t>646039.05.01</t>
  </si>
  <si>
    <t>Постиндустриальные уклады в экономике России: Моногр. / Л.Е.Басовский - М.:НИЦ ИНФРА-М,2025. - 159 с.(о)</t>
  </si>
  <si>
    <t>ПОСТИНДУСТРИАЛЬНЫЕ УКЛАДЫ В ЭКОНОМИКЕ РОССИИ</t>
  </si>
  <si>
    <t>Басовский Л.Е., Басовская Е.Н.</t>
  </si>
  <si>
    <t>978-5-16-020640-0</t>
  </si>
  <si>
    <t>657339.07.01</t>
  </si>
  <si>
    <t>Построение совр. бизнес-моделей в промыш.: Моногр. / А.Д.Бобрышев - 2 изд.-М.:НИЦ ИНФРА-М,2024.-287 с.(п)</t>
  </si>
  <si>
    <t>ПОСТРОЕНИЕ СОВРЕМЕННЫХ БИЗНЕС-МОДЕЛЕЙ В ПРОМЫШЛЕННОСТИ, ИЗД.2</t>
  </si>
  <si>
    <t>Бобрышев А.Д., Тарабрин К.М., Тумин В.М. и др.</t>
  </si>
  <si>
    <t>978-5-16-020040-8</t>
  </si>
  <si>
    <t>38.03.01, 38.03.02, 38.03.05, 38.04.01, 38.04.02, 38.04.05</t>
  </si>
  <si>
    <t>Всероссийский научно-исследовательский институт "Центр"</t>
  </si>
  <si>
    <t>657339.06.01</t>
  </si>
  <si>
    <t>Построение современных бизнес-моделей в промыш.: Моногр. / А.Д.Бобрышев - М.:НИЦ ИНФРА-М,2024-226с(П)</t>
  </si>
  <si>
    <t>ПОСТРОЕНИЕ СОВРЕМЕННЫХ БИЗНЕС-МОДЕЛЕЙ В ПРОМЫШЛЕННОСТИ</t>
  </si>
  <si>
    <t>978-5-16-012980-8</t>
  </si>
  <si>
    <t>818229.02.01</t>
  </si>
  <si>
    <t>Построение уголов. судопроизводства, направ. на.../ Под ред. Вилкова Т.Ю. - М.:НИЦ ИНФРА-М,2025 - 238 с.(п)</t>
  </si>
  <si>
    <t>ПОСТРОЕНИЕ УГОЛОВНОГО СУДОПРОИЗВОДСТВА, НАПРАВЛЕННОГО НА ОБЕСПЕЧЕНИЕ НАЦИОНАЛЬНЫХ ИНТЕРЕСОВ РОССИИ В ЭПОХУ БОЛЬШИХ ВЫЗОВОВ</t>
  </si>
  <si>
    <t>Вилкова Т.Ю., Ничипоренко А.А., Собенин А.А. и др.</t>
  </si>
  <si>
    <t>978-5-16-019431-8</t>
  </si>
  <si>
    <t>659262.01.01</t>
  </si>
  <si>
    <t>Потенциал роста налог. доходов регион. и местных бюджетов: Моногр./ М.Р.Пинская и др.-М.:НИЦ ИНФРА-М,2018-147с</t>
  </si>
  <si>
    <t>ПОТЕНЦИАЛ РОСТА НАЛОГОВЫХ ДОХОДОВ РЕГИОНАЛЬНЫХ И МЕСТНЫХ БЮДЖЕТОВ</t>
  </si>
  <si>
    <t>Пинская М.Р., Богачев С.В., Башкирова Н.Н. и др.</t>
  </si>
  <si>
    <t>978-5-16-012282-3</t>
  </si>
  <si>
    <t>646486.09.01</t>
  </si>
  <si>
    <t>Потребности в перевозках и возможности ж/д : Моногр. / Д.Ю.Левин - М.:НИЦ ИНФРА-М,2023 - 247 с.(П)</t>
  </si>
  <si>
    <t>ПОТРЕБНОСТИ В ПЕРЕВОЗКАХ И ВОЗМОЖНОСТИ ЖЕЛЕЗНЫХ ДОРОГ</t>
  </si>
  <si>
    <t>978-5-16-012464-3</t>
  </si>
  <si>
    <t>23.05.04, 23.06.01</t>
  </si>
  <si>
    <t>725297.02.01</t>
  </si>
  <si>
    <t>Поэзия Николая Перовского: Моногр. / В.К.Харченко - М.:НИЦ ИНФРА-М,2022 - 121 с.(Науч.мысль)(О)</t>
  </si>
  <si>
    <t>ПОЭЗИЯ НИКОЛАЯ ПЕРОВСКОГО</t>
  </si>
  <si>
    <t>978-5-16-015886-0</t>
  </si>
  <si>
    <t>818376.01.01</t>
  </si>
  <si>
    <t>Поэтика имени в творчестве И. А. Бунина: Моногр. / Я.В.Баженова-М.:НИЦ ИНФРА-М, СФУ,2024.-270 с.(о)</t>
  </si>
  <si>
    <t>ПОЭТИКА ИМЕНИ В ТВОРЧЕСТВЕ И. А. БУНИНА</t>
  </si>
  <si>
    <t>Баженова Я.В.</t>
  </si>
  <si>
    <t>978-5-16-019508-7</t>
  </si>
  <si>
    <t>45.03.99, 52.05.04</t>
  </si>
  <si>
    <t>440650.06.01</t>
  </si>
  <si>
    <t>Поэтика прозы Л.И. Бородина: диалог с культ.: Моногр./В.Д.Серафимова-М.:НИЦ ИНФРА-М,2024.-100 с.(О)</t>
  </si>
  <si>
    <t>ПОЭТИКА ПРОЗЫ Л.И. БОРОДИНА: ДИАЛОГ С КУЛЬТУРНЫМ ПРОСТРАНСТВОМ</t>
  </si>
  <si>
    <t>Серафимова В. Д.</t>
  </si>
  <si>
    <t>978-5-16-006773-5</t>
  </si>
  <si>
    <t>45.03.01, 45.04.01, 53.04.05</t>
  </si>
  <si>
    <t>632596.07.01</t>
  </si>
  <si>
    <t>Права на товарный знак: Моногр. / Отв. ред. Л.А.Новоселова - М.:Юр.Норма, НИЦ ИНФРА-М,2025 - 144 с.(О)</t>
  </si>
  <si>
    <t>ПРАВА НА ТОВАРНЫЙ ЗНАК</t>
  </si>
  <si>
    <t>Новоселова Л.А.</t>
  </si>
  <si>
    <t>978-5-91768-739-1</t>
  </si>
  <si>
    <t>15.04.01, 29.04.01, 29.04.02, 29.04.03, 38.03.01, 40.03.01, 40.04.01</t>
  </si>
  <si>
    <t>821081.01.01</t>
  </si>
  <si>
    <t>Права чел. и совр. международные отношения: Сб. науч. трудов / В.А.Карташкин-М.:Юр. НОРМА,2024.-176 с.(п)</t>
  </si>
  <si>
    <t>ПРАВА ЧЕЛОВЕКА И СОВРЕМЕННЫЕ МЕЖДУНАРОДНЫЕ ОТНОШЕНИЯ</t>
  </si>
  <si>
    <t>978-5-00156-356-3</t>
  </si>
  <si>
    <t>37.03.02, 38.04.04, 40.05.02, 41.03.04, 41.03.05, 41.04.05</t>
  </si>
  <si>
    <t>110550.09.01</t>
  </si>
  <si>
    <t>Права человека и демографические процессы: Моногр. / Н.С. Колесова. - М.: НОРМА: ИНФРА-М,2026 - 240 с.(о)</t>
  </si>
  <si>
    <t>ПРАВА ЧЕЛОВЕКА И ДЕМОГРАФИЧЕСКИЕ ПРОЦЕССЫ</t>
  </si>
  <si>
    <t>Колесова Н.С.</t>
  </si>
  <si>
    <t>978-5-16-003644-1</t>
  </si>
  <si>
    <t>682764.07.01</t>
  </si>
  <si>
    <t>Права человека и принципы межд. права в XXIв. / В.А.Карташкин - М.:Юр.Норма,НИЦ ИНФРА-М,2025 - 148 с.(П)</t>
  </si>
  <si>
    <t>ПРАВА ЧЕЛОВЕКА И ПРИНЦИПЫ МЕЖДУНАРОДНОГО ПРАВА В XXI ВЕКЕ</t>
  </si>
  <si>
    <t>978-5-91768-917-3</t>
  </si>
  <si>
    <t>40.03.01, 40.04.01, 40.05.01, 44.03.05</t>
  </si>
  <si>
    <t>850518.01.01</t>
  </si>
  <si>
    <t>Права человека: доктрина и практика: Моногр. / И.Г.Дудко. - М.:Юр. НОРМА, НИЦ ИНФРА-М,2025. - 420 с.(п)</t>
  </si>
  <si>
    <t>ПРАВА ЧЕЛОВЕКА: ДОКТРИНА И ПРАКТИКА</t>
  </si>
  <si>
    <t>Дудко И.Г., Абаева Е.А., Басова А.В. и др.</t>
  </si>
  <si>
    <t>978-5-00156-420-1</t>
  </si>
  <si>
    <t>757887.04.01</t>
  </si>
  <si>
    <t>Права человека: между прошлым и будущим: Моногр. / Т.А.Васильева - М.:Юр.Норма, НИЦ ИНФРА-М,2022 - 448 с.(П)</t>
  </si>
  <si>
    <t>ПРАВА ЧЕЛОВЕКА: МЕЖДУ ПРОШЛЫМ И БУДУЩИМ</t>
  </si>
  <si>
    <t>Васильева Т.А., Алексенко А.В., Варламова Н.В. и др.</t>
  </si>
  <si>
    <t>978-5-00156-180-4</t>
  </si>
  <si>
    <t>744591.03.01</t>
  </si>
  <si>
    <t>Правда: соц.-правовой и религиозно-нравств. идеал Древ. Руси (XI-XVII в.). / Н.А.Шавеко-М.:НИЦ ИНФРА-М,2025-159с(О)</t>
  </si>
  <si>
    <t>ПРАВДА: СОЦИАЛЬНО-ПРАВОВОЙ И РЕЛИГИОЗНО-НРАВСТВЕННЫЙ ИДЕАЛ ДРЕВНЕЙ РУСИ (XI-XVII ВЕКА). ИСТОРИКО-ФИЛОСОФСКОЕ ИССЛЕДОВАНИЕ</t>
  </si>
  <si>
    <t>Шавеко Н.А.</t>
  </si>
  <si>
    <t>978-5-16-016655-1</t>
  </si>
  <si>
    <t>40.04.01, 40.06.01, 46.04.01, 46.06.01, 47.06.01</t>
  </si>
  <si>
    <t>Институт философии и права Уральского отделения Российской академии наук, Удмуртский ф-л</t>
  </si>
  <si>
    <t>660065.05.01</t>
  </si>
  <si>
    <t>Правила безопасности сетей газораспределения и газопотребления - 2 изд.-М.:НИЦ ИНФРА-М,2023.-49 с.(О)</t>
  </si>
  <si>
    <t>ПРАВИЛА БЕЗОПАСНОСТИ СЕТЕЙ ГАЗОРАСПРЕДЕЛЕНИЯ И ГАЗОПОТРЕБЛЕНИЯ, ИЗД.2</t>
  </si>
  <si>
    <t>978-5-16-012925-9</t>
  </si>
  <si>
    <t>08.02.08</t>
  </si>
  <si>
    <t>660065.03.01</t>
  </si>
  <si>
    <t>Правила безопасности сетей газораспределения и газопотребления - М.:НИЦ ИНФРА-М,2019-44с.(О)</t>
  </si>
  <si>
    <t>ПРАВИЛА БЕЗОПАСНОСТИ СЕТЕЙ ГАЗОРАСПРЕДЕЛЕНИЯ И ГАЗОПОТРЕБЛЕНИЯ</t>
  </si>
  <si>
    <t>801713.05.01</t>
  </si>
  <si>
    <t>Правила внутр. распорядка учрежд. угол.-исполнит. сис..: Правила - 2- изд.-М.:НИЦ ИНФРА-М,2024.-296 с.(п)</t>
  </si>
  <si>
    <t>ПРАВИЛА ВНУТРЕННЕГО РАСПОРЯДКА УЧРЕЖДЕНИЙ УГОЛОВНО-ИСПОЛНИТЕЛЬНОЙ СИСТЕМЫ (ОБЪЕДИНЕННОЕ ИЗДАНИЕ), ИЗД.2</t>
  </si>
  <si>
    <t>978-5-16-020029-3</t>
  </si>
  <si>
    <t>40.02.02, 40.03.01, 40.05.01, 40.05.02, 40.05.04</t>
  </si>
  <si>
    <t>801713.03.01</t>
  </si>
  <si>
    <t>Правила внутр. распорядка учреждений уголовно-исполнит. сис... / Без автора-М.:НИЦ ИНФРА-М,2023.-289 с.(П)</t>
  </si>
  <si>
    <t>ПРАВИЛА ВНУТРЕННЕГО РАСПОРЯДКА УЧРЕЖДЕНИЙ УГОЛОВНО-ИСПОЛНИТЕЛЬНОЙ СИСТЕМЫ (ОБЪЕДИНЕННОЕ ИЗДАНИЕ)</t>
  </si>
  <si>
    <t>978-5-16-018732-7</t>
  </si>
  <si>
    <t>359700.14.01</t>
  </si>
  <si>
    <t>Правила по охране труда при эксплуатации электроустановок - 3 изд. - М.:НИЦ ИНФРА-М,2022-144 с.(О)</t>
  </si>
  <si>
    <t>ПРАВИЛА ПО ОХРАНЕ ТРУДА ПРИ ЭКСПЛУАТАЦИИ ЭЛЕКТРОУСТАНОВОК, ИЗД.3</t>
  </si>
  <si>
    <t>978-5-16-017110-4</t>
  </si>
  <si>
    <t>11.03.03, 11.03.04, 13.03.02, 21.02.15</t>
  </si>
  <si>
    <t>359700.19.01</t>
  </si>
  <si>
    <t>Правила по охране труда при эксплуатации электроустановок - 4 изд. - М.:НИЦ ИНФРА-М,2025. - 149 с.(О)</t>
  </si>
  <si>
    <t>ПРАВИЛА ПО ОХРАНЕ ТРУДА ПРИ ЭКСПЛУАТАЦИИ ЭЛЕКТРОУСТАНОВОК, ИЗД.4</t>
  </si>
  <si>
    <t>978-5-16-018015-1</t>
  </si>
  <si>
    <t>0423</t>
  </si>
  <si>
    <t>474400.04.01</t>
  </si>
  <si>
    <t>Правила противопожарного режима в Российской Федерации с 1 янв. 2021 г.: правила / -М.:НИЦ ИНФРА-М,2021.-104 с.(О)</t>
  </si>
  <si>
    <t>ПРАВИЛА ПРОТИВОПОЖАРНОГО РЕЖИМА В РОССИЙСКОЙ ФЕДЕРАЦИИ С 1 ЯНВАРЯ 2021 ГОДА</t>
  </si>
  <si>
    <t>978-5-16-016817-3</t>
  </si>
  <si>
    <t>00.03.01, 00.05.01</t>
  </si>
  <si>
    <t>753636.03.01</t>
  </si>
  <si>
    <t>Правила противопожарного режима для объектов торговли: правила - М.:НИЦ ИНФРА-М,2022.-40 с(О)</t>
  </si>
  <si>
    <t>ПРАВИЛА ПРОТИВОПОЖАРНОГО РЕЖИМА ДЛЯ ОБЪЕКТОВ ТОРГОВЛИ</t>
  </si>
  <si>
    <t>978-5-16-016818-0</t>
  </si>
  <si>
    <t>00.03.01, 00.05.01, 38.03.06, 38.04.06</t>
  </si>
  <si>
    <t>744960.01.01</t>
  </si>
  <si>
    <t>Правила тех. эксплуатации морских судов. Основное рук.РД 31.20.01-97 - М.:НИЦ ИНФРА-М,2022.-48 с.(О)</t>
  </si>
  <si>
    <t>ПРАВИЛА ТЕХНИЧЕСКОЙ ЭКСПЛУАТАЦИИ МОРСКИХ СУДОВ. ОСНОВНОЕ РУКОВОДСТВО РД 31.20.01-97</t>
  </si>
  <si>
    <t>978-5-16-016524-0</t>
  </si>
  <si>
    <t>26.02.02, 26.03.02, 26.04.01, 26.04.02, 26.05.01, 26.05.02, 26.05.03, 26.05.04, 26.05.05, 26.05.06, 26.05.07</t>
  </si>
  <si>
    <t>744961.02.01</t>
  </si>
  <si>
    <t>Правила тех. эксплуатации судовых технич. средств и конструкций РД 31.21.30-97 - М.:НИЦ ИНФРА-М,2025-327с(О)</t>
  </si>
  <si>
    <t>ПРАВИЛА ТЕХНИЧЕСКОЙ ЭКСПЛУАТАЦИИ СУДОВЫХ ТЕХНИЧЕСКИХ СРЕДСТВ И КОНСТРУКЦИЙ РД 31.21.30-97</t>
  </si>
  <si>
    <t>978-5-16-016525-7</t>
  </si>
  <si>
    <t>26.02.02, 26.02.03, 26.02.05, 26.03.01, 26.03.02, 26.04.01, 26.04.02, 26.05.01, 26.05.02, 26.05.03, 26.05.04, 26.05.05, 26.05.06, 26.05.07, 40.02.04</t>
  </si>
  <si>
    <t>662678.18.01</t>
  </si>
  <si>
    <t>Правила технич. эксплуатации Ж/Д РФ. Действ. с 1 авг. 2022 г. - 4 изд. - М.:НИЦ ИНФРА-М,2026 - 561 с.:цв.ил.(п)</t>
  </si>
  <si>
    <t>ПРАВИЛА ТЕХНИЧЕСКОЙ ЭКСПЛУАТАЦИИ ЖЕЛЕЗНЫХ ДОРОГ РОССИЙСКОЙ ФЕДЕРАЦИИ, ИЗД.4</t>
  </si>
  <si>
    <t>978-5-16-017988-9</t>
  </si>
  <si>
    <t>066660.11.01</t>
  </si>
  <si>
    <t>Правила технич. эксплуатации электроустановок потребителей: Правила - 3 изд.-М.:НИЦ ИНФРА-М,2024.-187 с.(о)</t>
  </si>
  <si>
    <t>ПРАВИЛА ТЕХНИЧЕСКОЙ ЭКСПЛУАТАЦИИ ЭЛЕКТРОУСТАНОВОК ПОТРЕБИТЕЛЕЙ, ИЗД.3</t>
  </si>
  <si>
    <t>978-5-16-020139-9</t>
  </si>
  <si>
    <t>13.03.01, 13.03.02, 13.04.01</t>
  </si>
  <si>
    <t>0324</t>
  </si>
  <si>
    <t>662678.03.01</t>
  </si>
  <si>
    <t>Правила технической эксплуатации Ж/Д РФ / -М.:НИЦ ИНФРА-М,2018-583с.(Федеральные нормы и правила)(П)</t>
  </si>
  <si>
    <t>ПРАВИЛА ТЕХНИЧЕСКОЙ ЭКСПЛУАТАЦИИ ЖЕЛЕЗНЫХ ДОРОГ РОССИЙСКОЙ ФЕДЕРАЦИИ</t>
  </si>
  <si>
    <t>978-5-16-013004-0</t>
  </si>
  <si>
    <t>662678.07.01</t>
  </si>
  <si>
    <t>Правила технической эксплуатации Ж/Д РФ/  - 2 изд., - М.:НИЦ ИНФРА-М,2020 - 620 с.(Федер. нормы и правила) (П)</t>
  </si>
  <si>
    <t>ПРАВИЛА ТЕХНИЧЕСКОЙ ЭКСПЛУАТАЦИИ ЖЕЛЕЗНЫХ ДОРОГ РОССИЙСКОЙ ФЕДЕРАЦИИ, ИЗД.2</t>
  </si>
  <si>
    <t>978-5-16-014748-2</t>
  </si>
  <si>
    <t>662678.12.01</t>
  </si>
  <si>
    <t>Правила технической эксплуатации Ж/Д РФ/  - 3 изд. - М.:НИЦ ИНФРА-М,2022 - 622 с.(Федер. нормы и правила) (П)</t>
  </si>
  <si>
    <t>ПРАВИЛА ТЕХНИЧЕСКОЙ ЭКСПЛУАТАЦИИ ЖЕЛЕЗНЫХ ДОРОГ РОССИЙСКОЙ ФЕДЕРАЦИИ, ИЗД.3</t>
  </si>
  <si>
    <t>0320</t>
  </si>
  <si>
    <t>066660.08.01</t>
  </si>
  <si>
    <t>Правила технической эксплуатации электроустановок потребителей- 2-е изд.- М.:НИЦ ИНФРА-М,2023.-436 с.(О)</t>
  </si>
  <si>
    <t>ПРАВИЛА ТЕХНИЧЕСКОЙ ЭКСПЛУАТАЦИИ ЭЛЕКТРОУСТАНОВОК ПОТРЕБИТЕЛЕЙ, ИЗД.2</t>
  </si>
  <si>
    <t>978-5-16-017237-8</t>
  </si>
  <si>
    <t>795903.02.01</t>
  </si>
  <si>
    <t>Правила устр. электроустановок (действ. разделы 6-го и 7-го изд.): правила / М.:НИЦ ИНФРА-М,2024.-832 с.</t>
  </si>
  <si>
    <t>ПРАВИЛА УСТРОЙСТВА ЭЛЕКТРОУСТАНОВОК (ДЕЙСТВУЮЩИЕ РАЗДЕЛЫ 6-ГО И 7-ГО ИЗДАНИЙ)</t>
  </si>
  <si>
    <t>978-5-16-018172-1</t>
  </si>
  <si>
    <t>08.02.09, 13.02.12, 13.02.13</t>
  </si>
  <si>
    <t>633327.06.01</t>
  </si>
  <si>
    <t>Право ВТО: теория и практ..: Моногр. / Под ред. Ануфриевой Л.П.-М.:Юр.Норма,НИЦ ИНФРА-М,2021-528с(П)</t>
  </si>
  <si>
    <t>ПРАВО ВТО: ТЕОРИЯ И ПРАКТИКА ПРИМЕНЕНИЯ</t>
  </si>
  <si>
    <t>Ануфриева Л.П.</t>
  </si>
  <si>
    <t>978-5-91768-747-6</t>
  </si>
  <si>
    <t>754145.04.01</t>
  </si>
  <si>
    <t>Право и биомедицина: Монография / Ф.В.Цомартова - М.:Юр.Норма, НИЦ ИНФРА-М,2025. - 136 с.(П)</t>
  </si>
  <si>
    <t>ПРАВО И БИОМЕДИЦИНА</t>
  </si>
  <si>
    <t>Цомартова Ф.В., Помазанский А.Е., Никитина Е.Е. и др.</t>
  </si>
  <si>
    <t>978-5-00156-163-7</t>
  </si>
  <si>
    <t>40.04.01, 40.05.03, 40.06.01</t>
  </si>
  <si>
    <t>653329.04.01</t>
  </si>
  <si>
    <t>Право и животный мир: история и современность: Моногр./ С.В.Иванова-М.:НИЦ ИНФРА-М,2022.-158 с.(О)</t>
  </si>
  <si>
    <t>ПРАВО И ЖИВОТНЫЙ МИР: ИСТОРИЯ И СОВРЕМЕННОСТЬ</t>
  </si>
  <si>
    <t>Иванова С.В.</t>
  </si>
  <si>
    <t>978-5-16-016561-5</t>
  </si>
  <si>
    <t>Оренбургский государственный аграрный университет</t>
  </si>
  <si>
    <t>753347.03.01</t>
  </si>
  <si>
    <t>Право и закон: Моногр. / В.С.Нерсесянц - М.:Юр.Норма, НИЦ ИНФРА-М,2025 - 368 с.(П)</t>
  </si>
  <si>
    <t>ПРАВО И ЗАКОН</t>
  </si>
  <si>
    <t>Нерсесянц В.С., Лапаева В.В.</t>
  </si>
  <si>
    <t>978-5-00156-159-0</t>
  </si>
  <si>
    <t>042110.07.01</t>
  </si>
  <si>
    <t>Право и Интернет. Теория кибернетич. права: Моногр. / И.М.Рассолов - 3 изд. - М.:Юр.Норма, НИЦ ИНФРА-М,2025 - 304 с.(П)</t>
  </si>
  <si>
    <t>ПРАВО И ИНТЕРНЕТ. ТЕОРЕТИЧЕСКИЕ ПРОБЛЕМЫ, ИЗД.3</t>
  </si>
  <si>
    <t>Рассолов И. М.</t>
  </si>
  <si>
    <t>978-5-00156-142-2</t>
  </si>
  <si>
    <t>38.04.05, 40.03.01, 40.04.01, 40.05.02, 40.05.03, 40.05.04, 40.06.01</t>
  </si>
  <si>
    <t>792934.02.01</t>
  </si>
  <si>
    <t>Право интеллект. собственности в условиях развития новых технологий: моногр. / Е.А.Моргунова-М.:Юр. НОРМА, НИЦ ИНФРА-М,2025.-152 с.(п)</t>
  </si>
  <si>
    <t>ПРАВО ИНТЕЛЛЕКТУАЛЬНОЙ СОБСТВЕННОСТИ В УСЛОВИЯХ РАЗВИТИЯ НОВЫХ ТЕХНОЛОГИЙ</t>
  </si>
  <si>
    <t>Моргунова Е.А., Шахназаров Б.А.</t>
  </si>
  <si>
    <t>978-5-00156-275-7</t>
  </si>
  <si>
    <t>40.04.01, 40.05.01, 40.05.03, 40.05.04, 40.06.01, 41.04.04</t>
  </si>
  <si>
    <t>772065.04.01</t>
  </si>
  <si>
    <t>Право личности на инсоляцию: Моногр. / П.Н.Андреева - М.:Юр.Норма,2025. - 160 с.(П)</t>
  </si>
  <si>
    <t>ПРАВО ЛИЧНОСТИ НА ИНСОЛЯЦИЮ</t>
  </si>
  <si>
    <t>Андреева П.Н.</t>
  </si>
  <si>
    <t>978-5-00156-220-7</t>
  </si>
  <si>
    <t>736688.06.01</t>
  </si>
  <si>
    <t>Право международных обычаев: Моногр. / Ю.С.Ромашев, - 2 изд. - М.:Юр. НОРМА, НИЦ ИНФРА-М,2026. - 176 с.(п)</t>
  </si>
  <si>
    <t>ПРАВО МЕЖДУНАРОДНЫХ ОБЫЧАЕВ, ИЗД.2</t>
  </si>
  <si>
    <t>978-5-00156-294-8</t>
  </si>
  <si>
    <t>736688.03.01</t>
  </si>
  <si>
    <t>Право международных обычаев: Монография / Ю.С.Ромашев - М.:Юр.Норма, НИЦ ИНФРА-М,2023 - 144 с.(П)</t>
  </si>
  <si>
    <t>ПРАВО МЕЖДУНАРОДНЫХ ОБЫЧАЕВ</t>
  </si>
  <si>
    <t>978-5-00156-071-5</t>
  </si>
  <si>
    <t>632928.05.01</t>
  </si>
  <si>
    <t>Право на бунт в культур.традиции...: Моногр. / А.В.Скиперских - М.:НИЦ ИНФРА-М,2025 - 266 с.(Науч.мысль)(П)</t>
  </si>
  <si>
    <t>ПРАВО НА БУНТ В КУЛЬТУРНОЙ ТРАДИЦИИ: ЕВРОПЕЙСКИЙ И РУССКИЙ КОНТЕКСТ</t>
  </si>
  <si>
    <t>978-5-16-012036-2</t>
  </si>
  <si>
    <t>741187.05.01</t>
  </si>
  <si>
    <t>Право против демократии?: Монография / Б.Матьё - М.:Юр.Норма,2026 - 200 с.(П)</t>
  </si>
  <si>
    <t>ПРАВО ПРОТИВ ДЕМОКРАТИИ</t>
  </si>
  <si>
    <t>Матьё Б.</t>
  </si>
  <si>
    <t>978-5-00156-085-2</t>
  </si>
  <si>
    <t>Институт юридических и философских наук Сорбонны</t>
  </si>
  <si>
    <t>682763.08.01</t>
  </si>
  <si>
    <t>Право против хаоса: Моногр. / В.Д.Зорькин - 3 изд. - М.:Юр.Норма, НИЦ ИНФРА-М,2025 - 536с.(п)</t>
  </si>
  <si>
    <t>ПРАВО ПРОТИВ ХАОСА, ИЗД.3</t>
  </si>
  <si>
    <t>978-5-00156-292-4</t>
  </si>
  <si>
    <t>0323</t>
  </si>
  <si>
    <t>682763.04.01</t>
  </si>
  <si>
    <t>Право против хаоса: Монография / В.Д.Зорькин - 2 изд. - М.:Юр.Норма, НИЦ ИНФРА-М,2023 - 368 с.(П)</t>
  </si>
  <si>
    <t>ПРАВО ПРОТИВ ХАОСА, ИЗД.2</t>
  </si>
  <si>
    <t>978-5-91768-916-6</t>
  </si>
  <si>
    <t>246700.08.01</t>
  </si>
  <si>
    <t>Право собств. на землю в стран. Европы: Моногр. / О.И.Крассов - М.: Юр.Норма, НИЦ ИНФРА-М, 2026. - 400 с.(П)</t>
  </si>
  <si>
    <t>ПРАВО СОБСТВЕННОСТИ НА ЗЕМЛЮ В СТРАНАХ ЕВРОПЫ</t>
  </si>
  <si>
    <t>20.03.02, 40.03.01</t>
  </si>
  <si>
    <t>381800.07.01</t>
  </si>
  <si>
    <t>Право: прогнозы и риски: Моногр. / Ю.А.Тихомиров-М.:НИЦ ИНФРА-М,2023.-240 с.(ИЗиСП)(П)</t>
  </si>
  <si>
    <t>ПРАВО: ПРОГНОЗЫ И РИСКИ</t>
  </si>
  <si>
    <t>Тихомиров А.Ю.</t>
  </si>
  <si>
    <t>978-5-16-011152-0</t>
  </si>
  <si>
    <t>40.03.01, 40.04.01, 40.05.01, 40.05.02, 44.03.05</t>
  </si>
  <si>
    <t>812229.03.01</t>
  </si>
  <si>
    <t>Правовая аналитика: студенты и..: Моногр. / В.Б.Исаков - М.:Юр. НОРМА, НИЦ ИНФРА-М,2025. - 244 с.(п)</t>
  </si>
  <si>
    <t>ПРАВОВАЯ АНАЛИТИКА: СТУДЕНТЫ И ИСКУССТВЕННЫЙ ИНТЕЛЛЕКТ НА ЭКЗАМЕНЕ</t>
  </si>
  <si>
    <t>Исаков В.Б., Мамцев Р.В.</t>
  </si>
  <si>
    <t>978-5-00156-330-3</t>
  </si>
  <si>
    <t>671267.03.01</t>
  </si>
  <si>
    <t>Правовая доктрина как источник (форма) рос. права: Моногр. / А.Н.Чашин - М.:НИЦ ИНФРА-М,2023 - 293 с.(О)</t>
  </si>
  <si>
    <t>ПРАВОВАЯ ДОКТРИНА КАК ИСТОЧНИК (ФОРМА) РОССИЙСКОГО ПРАВА</t>
  </si>
  <si>
    <t>978-5-16-017375-7</t>
  </si>
  <si>
    <t>40.03.01, 40.04.01, 40.05.01, 40.05.02, 41.03.01, 41.03.06, 44.03.05</t>
  </si>
  <si>
    <t>767407.04.01</t>
  </si>
  <si>
    <t>Правовая доктрина: проблемы формир. и..: Моногр. / В.Д.Перевалов - М.:Юр.Норма, НИЦ ИНФРА-М,2025. - 168 с.(П)</t>
  </si>
  <si>
    <t>ПРАВОВАЯ ДОКТРИНА: ПРОБЛЕМЫ ФОРМИРОВАНИЯ И РЕАЛИЗАЦИИ</t>
  </si>
  <si>
    <t>Перевалов В.Д.</t>
  </si>
  <si>
    <t>978-5-00156-206-1</t>
  </si>
  <si>
    <t>667390.06.01</t>
  </si>
  <si>
    <t>Правовая защита потерпев.в заруб. странах: Моногр./ В.Ю.Артемов - М.:НИЦ ИНФРА-М, ИЗиСП,2024 - 304 с.(о)</t>
  </si>
  <si>
    <t>ПРАВОВАЯ ЗАЩИТА ПОТЕРПЕВШИХ В ЗАРУБЕЖНЫХ СТРАНАХ</t>
  </si>
  <si>
    <t>978-5-16-019617-6</t>
  </si>
  <si>
    <t>657399.05.01</t>
  </si>
  <si>
    <t>Правовая идеология соврем.полит.организ.общ. / А.И.Клименко - М.:Юр.Норма, НИЦ ИНФРА-М,2026. - 384 с.(П)</t>
  </si>
  <si>
    <t>ПРАВОВАЯ ИДЕОЛОГИЯ СОВРЕМЕННОГО ПОЛИТИЧЕСКИ ОРГАНИЗОВАННОГО ОБЩЕСТВА</t>
  </si>
  <si>
    <t>Клименко А.И.</t>
  </si>
  <si>
    <t>978-5-91768-841-1</t>
  </si>
  <si>
    <t>40.03.01, 40.04.01, 40.05.01, 40.05.02, 41.03.01, 41.03.06, 41.04.02, 41.04.04, 44.03.05</t>
  </si>
  <si>
    <t>821481.01.01</t>
  </si>
  <si>
    <t>Правовая инициатива в механизме действ. совр. рос. права / А.А.Редько-М.:НИЦ ИНФРА-М,2025.-289 с.(п)</t>
  </si>
  <si>
    <t>ПРАВОВАЯ ИНИЦИАТИВА В МЕХАНИЗМЕ ДЕЙСТВИЯ СОВРЕМЕННОГО РОССИЙСКОГО ПРАВА</t>
  </si>
  <si>
    <t>Редько А.А.</t>
  </si>
  <si>
    <t>978-5-16-019684-8</t>
  </si>
  <si>
    <t>Волгоградская академия Министерства внутренних дел Российской Федерации</t>
  </si>
  <si>
    <t>803176.01.01</t>
  </si>
  <si>
    <t>Правовая культура и правовая традиция: Сб. статей памяти Н. А. Крашенинниковой-М.:Юр. НОРМА,2023.-148 с.(п)</t>
  </si>
  <si>
    <t>ПРАВОВАЯ КУЛЬТУРА И ПРАВОВАЯ ТРАДИЦИЯ: СБОРНИК СТАТЕЙ ПАМЯТИ НИНЫ АЛЕКСАНДРОВНЫ КРАШЕНИННИКОВОЙ</t>
  </si>
  <si>
    <t>978-5-00156-301-3</t>
  </si>
  <si>
    <t>294800.06.01</t>
  </si>
  <si>
    <t>Правовая культура: Моногр. / Э.С. Насурдинов; Отв. ред. Ф.Т. Тахиров. - М.: Норма, 2026. - 352 с. (п)</t>
  </si>
  <si>
    <t>ПРАВОВАЯ КУЛЬТУРА</t>
  </si>
  <si>
    <t>Насурдинов Э. С., Тахиров Ф. Т.</t>
  </si>
  <si>
    <t>978-5-91768-523-6</t>
  </si>
  <si>
    <t>Таджикский национальный университет</t>
  </si>
  <si>
    <t>659817.05.01</t>
  </si>
  <si>
    <t>Правовая организация механизма правосудия РФ:Моногр./М.И.Клеандров-М.:Юр.Норма,НИЦ ИНФРА-М,2021-288с</t>
  </si>
  <si>
    <t>ПРАВОВАЯ ОРГАНИЗАЦИЯ МЕХАНИЗМА ПРАВОСУДИЯ РФ: ПРОБЛЕМЫ СОВЕРШЕНСТВОВАНИЯ</t>
  </si>
  <si>
    <t>978-5-91768-846-6</t>
  </si>
  <si>
    <t>770681.03.01</t>
  </si>
  <si>
    <t>Правовая политика и ее эффектив. в сфере...: Моногр. / А.Ю..Соколов - М.:Юр. НОРМА, НИЦ ИНФРА-М,2024 - 200 с.(П)</t>
  </si>
  <si>
    <t>ПРАВОВАЯ ПОЛИТИКА И ЕЕ ЭФФЕКТИВНОСТЬ В СФЕРЕ ОТДЕЛЬНЫХ ВИДОВ СУДЕБНЫХ ПРОИЗВОДСТВ</t>
  </si>
  <si>
    <t>Соколов А.Ю., Афанасьев С.Ф., Евстигнеева О.В. и др.</t>
  </si>
  <si>
    <t>978-5-00156-219-1</t>
  </si>
  <si>
    <t>168000.07.01</t>
  </si>
  <si>
    <t>Правовая система Европейского Союза: Моногр. / М.Н. Марченко - М.: Норма:  НИЦ Инфра-М, 2024-704с.(п)</t>
  </si>
  <si>
    <t>ПРАВОВАЯ СИСТЕМА ЕВРОПЕЙСКОГО СОЮЗА</t>
  </si>
  <si>
    <t>Марченко М.Н., Дерябина Е.М.</t>
  </si>
  <si>
    <t>431400.07.01</t>
  </si>
  <si>
    <t>Правовое обесп. созд. скважин как горного. недвиж. имущ.: Моногр. /П.П.Гончаров -М.:Юр.Норма, НИЦ ИНФРА-М, 2024-384с.(п)</t>
  </si>
  <si>
    <t>ПРАВОВОЕ ОБЕСПЕЧЕНИЕ СОЗДАНИЯ СКВАЖИН КАК ГОРНОГО НЕДВИЖИМОГО ИМУЩЕСТВА: ЗЕМЕЛЬНЫЙ, ГРАДОСТРОИТЕЛЬНЫЙ И УЧЕТНО-РЕГИСТРАЦИОННЫЙ АСПЕКТЫ</t>
  </si>
  <si>
    <t>Гончаров П. П.</t>
  </si>
  <si>
    <t>978-5-91768-349-2</t>
  </si>
  <si>
    <t>21.03.01, 21.05.05, 21.05.06, 40.03.01, 40.04.01</t>
  </si>
  <si>
    <t>795828.01.01</t>
  </si>
  <si>
    <t>Правовое обеспечение гос. управ. в...: Моногр. / С.В.Иванова-М.:НИЦ ИНФРА-М,2023.-180 с.(Науч.мысль)(п)</t>
  </si>
  <si>
    <t>ПРАВОВОЕ ОБЕСПЕЧЕНИЕ ГОСУДАРСТВЕННОГО УПРАВЛЕНИЯ В ОБЛАСТИ ОХРАНЫ И ИСПОЛЬЗОВАНИЯ ОБЪЕКТОВ ЖИВОТНОГО МИРА</t>
  </si>
  <si>
    <t>Иванова С.В., Ястребов О.А.</t>
  </si>
  <si>
    <t>978-5-16-018127-1</t>
  </si>
  <si>
    <t>38.05.02, 40.05.02, 40.05.03, 40.05.04, 40.06.01</t>
  </si>
  <si>
    <t>406400.08.01</t>
  </si>
  <si>
    <t>Правовое обеспечение инновац. деят.: Моногр./ О.А.Городов-М.:НИЦ ИНФРА-М,2025.-209 с.(Науч.мысль)(о)</t>
  </si>
  <si>
    <t>ПРАВОВОЕ ОБЕСПЕЧЕНИЕ ИННОВАЦИОННОЙ ДЕЯТЕЛЬНОСТИ</t>
  </si>
  <si>
    <t>Городов О. А.</t>
  </si>
  <si>
    <t>978-5-16-005798-9</t>
  </si>
  <si>
    <t>38.03.01, 38.03.02, 38.03.04, 38.04.01, 38.04.02, 40.03.01, 40.04.01, 41.03.06, 44.03.05</t>
  </si>
  <si>
    <t>671266.02.01</t>
  </si>
  <si>
    <t>Правовое положение, труд и повседневная жизнь детей..: Моногр. / И.В.Синова - М.:НИЦ ИНФРА-М,2022 - 280 с.(П)</t>
  </si>
  <si>
    <t>ПРАВОВОЕ ПОЛОЖЕНИЕ, ТРУД И ПОВСЕДНЕВНАЯ ЖИЗНЬ ДЕТЕЙ ВО ВТОРОЙ ПОЛОВИНЕ XIX - НАЧАЛЕ XX ВЕКА</t>
  </si>
  <si>
    <t>Синова И.В.</t>
  </si>
  <si>
    <t>978-5-16-013742-1</t>
  </si>
  <si>
    <t>39.04.01, 39.04.02, 40.04.01, 42.04.02, 44.03.01, 46.03.01, 46.04.01, 51.03.01</t>
  </si>
  <si>
    <t>700569.03.01</t>
  </si>
  <si>
    <t>Правовое пространство: границы и динамика: Моногр. / Ю.А.Тихомиров.-М.:НИЦ ИНФРА-М,2021.-240 с.(ИЗиСП)(П)</t>
  </si>
  <si>
    <t>ПРАВОВОЕ ПРОСТРАНСТВО: ГРАНИЦЫ И ДИНАМИКА</t>
  </si>
  <si>
    <t>Тихомиров Ю.А., Головина А.А., Плюгина И.В. и др.</t>
  </si>
  <si>
    <t>978-5-16-014736-9</t>
  </si>
  <si>
    <t>664199.02.01</t>
  </si>
  <si>
    <t>Правовое регул.расходов бюдж.субъекта РФ: Моногр. / А.Пятковская-М.:Юр.Норма, НИЦ ИНФРА-М,2019-288с.</t>
  </si>
  <si>
    <t>ПРАВОВОЕ РЕГУЛИРОВАНИЕ РАСХОДОВ БЮДЖЕТА СУБЪЕКТА РФ</t>
  </si>
  <si>
    <t>Пятковская А.</t>
  </si>
  <si>
    <t>978-5-91768-852-7</t>
  </si>
  <si>
    <t>854144.01.01</t>
  </si>
  <si>
    <t>Правовое регулир. бережного и устой. оборота данных: Моногр. / Н.Н.Ковалева - М.:НИЦ ИНФРА-М,2025 - 215 с.(п)</t>
  </si>
  <si>
    <t>ПРАВОВОЕ РЕГУЛИРОВАНИЕ БЕРЕЖНОГО И УСТОЙЧИВОГО ОБОРОТА ДАННЫХ</t>
  </si>
  <si>
    <t>Ковалева Н.Н., Холодная Е.В., Федоров Д.А. и др.</t>
  </si>
  <si>
    <t>978-5-16-020996-8</t>
  </si>
  <si>
    <t>09.03.01, 09.06.01, 10.03.01, 10.04.01, 10.05.01, 10.05.02, 10.05.03, 10.05.05, 10.05.07, 10.06.01, 38.04.03</t>
  </si>
  <si>
    <t>636922.06.01</t>
  </si>
  <si>
    <t>Правовое регулир. денежного обращения: Моногр. / Н.М.Артемов -М.:Юр.Норма,НИЦ ИНФРА-М,2024-96с.(О)</t>
  </si>
  <si>
    <t>ПРАВОВОЕ РЕГУЛИРОВАНИЕ ДЕНЕЖНОГО ОБРАЩЕНИЯ (ДЕНЕЖНОЕ ПРАВО)</t>
  </si>
  <si>
    <t>Артемов Н.М., Лагутин И.Б., Ситник А.А. и др.</t>
  </si>
  <si>
    <t>978-5-91768-756-8</t>
  </si>
  <si>
    <t>38.04.01, 38.04.08, 38.06.01, 40.06.01, 44.03.05</t>
  </si>
  <si>
    <t>684235.03.01</t>
  </si>
  <si>
    <t>Правовое регулир. иностранных инвест. в экономике России.../ М.В.Мельничук.-М.:НИЦ ИНФРА-М,2021-138с(О)</t>
  </si>
  <si>
    <t>ПРАВОВОЕ РЕГУЛИРОВАНИЕ ИНОСТРАННЫХ ИНВЕСТИЦИЙ В ЭКОНОМИКЕ РОССИИ: ОПЫТ КИТАЯ</t>
  </si>
  <si>
    <t>Мельничук М.В., Демченко М.В., Ручкина Г.Ф. и др.</t>
  </si>
  <si>
    <t>978-5-16-016883-8</t>
  </si>
  <si>
    <t>38.03.01, 38.03.02, 38.04.08, 38.04.09, 40.03.01, 41.03.06, 44.03.01, 44.03.05</t>
  </si>
  <si>
    <t>645634.05.01</t>
  </si>
  <si>
    <t>Правовое регулир. испол. охраны лесов по законод. РФ: Моногр. / Кочнов Д.И.-М.:НИЦ ИНФРА-М,2023-272с(о)</t>
  </si>
  <si>
    <t>ПРАВОВОЕ РЕГУЛИРОВАНИЕ ИСПОЛЬЗОВАНИЯ И ОХРАНЫ ЛЕСОВ ПО ЗАКОНОДАТЕЛЬСТВУ РОССИЙСКОЙ ФЕДЕРАЦИИ И ЗАРУБЕЖНЫХ СТРАН</t>
  </si>
  <si>
    <t>Кочнов Д.И., Шуплецова Ю.И.</t>
  </si>
  <si>
    <t>978-5-16-012416-2</t>
  </si>
  <si>
    <t>798325.01.01</t>
  </si>
  <si>
    <t>Правовое регулир. оказания ветеринарных услуг: Моногр. / Р.И.Алиев-М.:НИЦ ИНФРА-М,2023.-128 с.(о)</t>
  </si>
  <si>
    <t>ПРАВОВОЕ РЕГУЛИРОВАНИЕ ОКАЗАНИЯ ВЕТЕРИНАРНЫХ УСЛУГ</t>
  </si>
  <si>
    <t>Алиев Р.И.</t>
  </si>
  <si>
    <t>978-5-16-018269-8</t>
  </si>
  <si>
    <t>36.03.01, 36.04.01, 36.05.01, 36.06.01, 40.04.01, 40.06.01</t>
  </si>
  <si>
    <t>Новосибирский государственный университет</t>
  </si>
  <si>
    <t>844898.06.01</t>
  </si>
  <si>
    <t>Правовое регулир. предуп. изм. климата в России: Моногр. / С.А.Боголюбов - М.:НИЦ ИНФРА-М,2026 - 248 с.(п)</t>
  </si>
  <si>
    <t>ПРАВОВОЕ РЕГУЛИРОВАНИЕ ПРЕДУПРЕЖДЕНИЯ ИЗМЕНЕНИЙ КЛИМАТА В РОССИИ И ЗАРУБЕЖНЫХ СТРАНАХ</t>
  </si>
  <si>
    <t>Боголюбов С.А., Никонов Р.В., Боголюбов С.А.</t>
  </si>
  <si>
    <t>978-5-16-020440-6</t>
  </si>
  <si>
    <t>20.03.01, 40.05.01, 40.05.02, 40.05.04</t>
  </si>
  <si>
    <t>715620.05.01</t>
  </si>
  <si>
    <t>Правовое регулир. расторжения брака: опыт США: Моногр. / Е.В.Розанова - М.:НИЦ ИНФРА-М,2024-212с.(Науч.мысль)(о)</t>
  </si>
  <si>
    <t>ПРАВОВОЕ РЕГУЛИРОВАНИЕ РАСТОРЖЕНИЯ БРАКА: ОПЫТ СОЕДИНЕННЫХ ШТАТОВ АМЕРИКИ</t>
  </si>
  <si>
    <t>Розанова Е.В.</t>
  </si>
  <si>
    <t>978-5-16-015522-7</t>
  </si>
  <si>
    <t>700292.04.01</t>
  </si>
  <si>
    <t>Правовое регулир. трансформации рос. образов...: Моногр. / А.Г.Чернявский и др. - М.ИНФРА-М,2026 - 174 с.(О)</t>
  </si>
  <si>
    <t>ПРАВОВОЕ РЕГУЛИРОВАНИЕ ТРАНСФОРМАЦИИ РОССИЙСКОГО ОБРАЗОВАНИЯ В УСЛОВИЯХ ГЛОБАЛИЗАЦИИ В СОЦИАЛЬНО-КУЛЬТУРНОЙ СРЕДЕ</t>
  </si>
  <si>
    <t>Чернявский А.Г., Бурьянов С.А., Кривенький А.И.</t>
  </si>
  <si>
    <t>978-5-16-014864-9</t>
  </si>
  <si>
    <t>40.03.01, 40.04.01, 44.03.01, 44.03.05</t>
  </si>
  <si>
    <t>684236.05.01</t>
  </si>
  <si>
    <t>Правовое регулир. финанс. поддержки субъектов малого..: Моногр. / Г.Ф.Ручкина - М.:НИЦ ИНФРА-М,2024-154с(О)</t>
  </si>
  <si>
    <t>ПРАВОВОЕ РЕГУЛИРОВАНИЕ ФИНАНСОВОЙ ПОДДЕРЖКИ СУБЪЕКТОВ МАЛОГО И СРЕДНЕГО ПРЕДПРИНИМАТЕЛЬСТВА</t>
  </si>
  <si>
    <t>Ручкина Г.Ф., Демченко М.В., Ключникова Я.А. и др.</t>
  </si>
  <si>
    <t>978-5-16-014207-4</t>
  </si>
  <si>
    <t>38.03.01, 40.03.01, 40.04.01, 44.03.01, 44.03.05</t>
  </si>
  <si>
    <t>700571.02.01</t>
  </si>
  <si>
    <t>Правовое регулиров.стратег. планиров.в сфере...: Моногр. / Е.В. Кудряшова - М.:НИЦ ИНФРА-М,2023-304с</t>
  </si>
  <si>
    <t>ПРАВОВОЕ РЕГУЛИРОВАНИЕ СТРАТЕГИЧЕСКОГО ПЛАНИРОВАНИЯ В СФЕРЕ ГОСУДАРСТВЕННЫХ ФИНАНСОВ</t>
  </si>
  <si>
    <t>Кудряшова Е.В.</t>
  </si>
  <si>
    <t>978-5-16-014732-1</t>
  </si>
  <si>
    <t>Сибирский университет потребительской кооперации</t>
  </si>
  <si>
    <t>684386.03.01</t>
  </si>
  <si>
    <t>Правовое регулирование деят. институтов развития: Моногр. / М.В.Демченко-М.:НИЦ ИНФРА-М,2023-168с(О)</t>
  </si>
  <si>
    <t>ПРАВОВОЕ РЕГУЛИРОВАНИЕ ДЕЯТЕЛЬНОСТИ ИНСТИТУТОВ РАЗВИТИЯ</t>
  </si>
  <si>
    <t>Демченко М.В., Ручкина Г.Ф., Петюкова О.Н. и др.</t>
  </si>
  <si>
    <t>978-5-16-014215-9</t>
  </si>
  <si>
    <t>686027.06.01</t>
  </si>
  <si>
    <t>Правовое регулирование огранич.оборотоспособ...: Моногр. / У.В.Корнилова-М.:НИЦ ИНФРА-М,2024-109с(О)</t>
  </si>
  <si>
    <t>ПРАВОВОЕ РЕГУЛИРОВАНИЕ ОГРАНИЧЕНИЙ ОБОРОТОСПОСОБНОСТИ ЗЕМЕЛЬНЫХ УЧАСТКОВ</t>
  </si>
  <si>
    <t>Корнилова У.В., Мельников Н.Н.</t>
  </si>
  <si>
    <t>978-5-16-014265-4</t>
  </si>
  <si>
    <t>Орловский государственный университет им. И.С. Тургенева</t>
  </si>
  <si>
    <t>695063.03.01</t>
  </si>
  <si>
    <t>Правовое регулирование судеб. нормоконтроля..: Моногр./ А.А.Соловьёв-М.:НИЦ ИНФРА-М,2020.-219 с.(Науч.мысль)(О)</t>
  </si>
  <si>
    <t>ПРАВОВОЕ РЕГУЛИРОВАНИЕ СУДЕБНОГО НОРМОКОНТРОЛЯ: ОПЫТ ЗАРУБЕЖНЫХ ГОСУДАРСТВ</t>
  </si>
  <si>
    <t>978-5-16-014635-5</t>
  </si>
  <si>
    <t>650521.09.01</t>
  </si>
  <si>
    <t>Правовое регулирование эконом. отнош...: Моногр. / Н.Г.Доронина - М.:Юр.Норма,НИЦ ИНФРА-М,2022-160с.(П)</t>
  </si>
  <si>
    <t>ПРАВОВОЕ РЕГУЛИРОВАНИЕ ЭКОНОМИЧЕСКИХ ОТНОШЕНИЙ: ГЛОБАЛЬНОЕ, НАЦИОНАЛЬНОЕ, РЕГИОНАЛЬНОЕ</t>
  </si>
  <si>
    <t>Доронина Н.Г., Казанцев Н.М., Семилютина Н.Г.</t>
  </si>
  <si>
    <t>978-5-91768-812-1</t>
  </si>
  <si>
    <t>699386.04.01</t>
  </si>
  <si>
    <t>Правовой механизм обеспеч. рационал...: Моногр. / Е.А.Галиновская - М.:НИЦ ИНФРА-М,2022 - 312 с.(П)</t>
  </si>
  <si>
    <t>ПРАВОВОЙ МЕХАНИЗМ ОБЕСПЕЧЕНИЯ РАЦИОНАЛЬНОГО ИСПОЛЬЗОВАНИЯ ПРИРОДНЫХ РЕСУРСОВ</t>
  </si>
  <si>
    <t>Галиновская Е.А., Агафонов В.Б., Боголюбов C.А. и др.</t>
  </si>
  <si>
    <t>978-5-16-014692-8</t>
  </si>
  <si>
    <t>775348.02.01</t>
  </si>
  <si>
    <t>Правовой механизм реализации амнистии в РФ...: Моногр. / Н.И.Полищук-М.:НИЦ ИНФРА-М,2024.-205с(О)</t>
  </si>
  <si>
    <t>ПРАВОВОЙ МЕХАНИЗМ РЕАЛИЗАЦИИ АМНИСТИИ В РОССИЙСКОЙ ФЕДЕРАЦИИ И СОЦИАЛЬНЫЕ ПОСЛЕДСТВИЯ ЕЕ ПРИМЕНЕНИЯ</t>
  </si>
  <si>
    <t>Полищук Н.И., Кохман Д.В.</t>
  </si>
  <si>
    <t>978-5-16-017608-6</t>
  </si>
  <si>
    <t>855179.01.01</t>
  </si>
  <si>
    <t>Правовой прогресс: Моногр. / С.И.Архипов - М.:Юр. НОРМА, НИЦ ИНФРА-М,2025. - 272 с.(п)</t>
  </si>
  <si>
    <t>ПРАВОВОЙ ПРОГРЕСС</t>
  </si>
  <si>
    <t>Архипов С.И.</t>
  </si>
  <si>
    <t>978-5-00156-435-5</t>
  </si>
  <si>
    <t>40.05.01</t>
  </si>
  <si>
    <t>489550.01.01</t>
  </si>
  <si>
    <t>Правовой статус должностных лиц органов гос. власти субъектов РФ: Моногр./П.А.Виноградова-М.:ИЦ РИОР, НИЦ ИНФРА-М,2015.</t>
  </si>
  <si>
    <t>ПРАВОВОЙ СТАТУС ДОЛЖНОСТНЫХ ЛИЦ ОРГАНОВ ГОСУДАРСТВЕННОЙ ВЛАСТИ СУБЪЕКТОВ РОССИЙСКОЙ ФЕДЕРАЦИИ</t>
  </si>
  <si>
    <t>Виноградова П.А.</t>
  </si>
  <si>
    <t>978-5-369-01435-6</t>
  </si>
  <si>
    <t>38.03.04, 38.04.04, 40.03.01, 40.04.01, 44.03.05</t>
  </si>
  <si>
    <t>674981.08.01</t>
  </si>
  <si>
    <t>Правовой статус оперуполномоч. при провед.опер.-розыск.меропр.: Моногр. / В.Ф.Луговик-М.:НИЦ ИНФРА-М,2024-156с(О)</t>
  </si>
  <si>
    <t>ПРАВОВОЙ СТАТУС ОПЕРУПОЛНОМОЧЕННОГО ПРИ ПРОВЕДЕНИИ ОПЕРАТИВНО-РОЗЫСКНЫХ МЕРОПРИЯТИЙ</t>
  </si>
  <si>
    <t>Луговик В.Ф., Лугович С.М.</t>
  </si>
  <si>
    <t>978-5-16-013526-7</t>
  </si>
  <si>
    <t>Омская академия Министерства внутренних дел Российской Федерации</t>
  </si>
  <si>
    <t>800252.01.01</t>
  </si>
  <si>
    <t>Правовой статус субъектов образоват. отнош. и его влияние.../ Е.Е.Кречетова-М.:НИЦ ИНФРА-М,2024.-197 с.(о)</t>
  </si>
  <si>
    <t>ПРАВОВОЙ СТАТУС СУБЪЕКТОВ ОБРАЗОВАТЕЛЬНЫХ ОТНОШЕНИЙ И ЕГО ВЛИЯНИЕ НА СОСТОЯНИЕ СОВРЕМЕННОГО ОБРАЗОВАНИЯ В РОССИИ И ДРУГИХ ГОСУДАРСТВАХ</t>
  </si>
  <si>
    <t>Кречетова Е.Е., Кривенький А.И., Рублевская Л.В.</t>
  </si>
  <si>
    <t>978-5-16-018339-8</t>
  </si>
  <si>
    <t>40.04.01, 40.06.01, 44.03.05, 44.04.01, 44.04.02, 44.04.03, 44.04.04, 44.06.01</t>
  </si>
  <si>
    <t>Школа № 1542</t>
  </si>
  <si>
    <t>795337.04.01</t>
  </si>
  <si>
    <t>Правовой статус чел. и гражданина в меняющемся мире / А.Е.Постников - М.:Юр.НОРМА, НИЦ ИНФРА-М,2025 - 248 с.(П)</t>
  </si>
  <si>
    <t>ПРАВОВОЙ СТАТУС ЧЕЛОВЕКА И ГРАЖДАНИНА В МЕНЯЮЩЕМСЯ МИРЕ</t>
  </si>
  <si>
    <t>Постников А.Е.</t>
  </si>
  <si>
    <t>978-5-00156-280-1</t>
  </si>
  <si>
    <t>717573.03.01</t>
  </si>
  <si>
    <t>Правовые аспекты бух. дела: теор. основы и...: Моногр. / М.Д.Акатьева - М.:НИЦ ИНФРА-М,2025. - 147 с.(О)</t>
  </si>
  <si>
    <t>ПРАВОВЫЕ АСПЕКТЫ БУХГАЛТЕРСКОГО ДЕЛА: ТЕОРЕТИЧЕСКИЕ ОСНОВЫ И ПРАКТИЧЕСКАЯ РЕАЛИЗАЦИЯ</t>
  </si>
  <si>
    <t>978-5-16-015575-3</t>
  </si>
  <si>
    <t>38.03.01, 38.03.02, 38.04.01, 38.04.02, 40.04.01</t>
  </si>
  <si>
    <t>788751.02.01</t>
  </si>
  <si>
    <t>Правовые и орг. основы деят. исправит. центров: Моногр. / Л.Ю.Буданова-М.:НИЦ ИНФРА-М,2023.-178 с.(о)</t>
  </si>
  <si>
    <t>ПРАВОВЫЕ И ОРГАНИЗАЦИОННЫЕ ОСНОВЫ ДЕЯТЕЛЬНОСТИ ИСПРАВИТЕЛЬНЫХ ЦЕНТРОВ</t>
  </si>
  <si>
    <t>Буданова Л.Ю., Казак Б.Б., Смирнова И.Н. и др.</t>
  </si>
  <si>
    <t>978-5-16-018078-6</t>
  </si>
  <si>
    <t>736620.05.01</t>
  </si>
  <si>
    <t>Правовые категории. Методологические аспекты... / А.М.Васильев - М.:Юр.Норма, НИЦ ИНФРА-М,2026. - 264 с.(П)</t>
  </si>
  <si>
    <t>ПРАВОВЫЕ КАТЕГОРИИ. МЕТОДОЛОГИЧЕСКИЕ АСПЕКТЫ РАЗРАБОТКИ СИСТЕМЫ КАТЕГОРИЙ ТЕОРИИ ПРАВА</t>
  </si>
  <si>
    <t>Васильев А.М.</t>
  </si>
  <si>
    <t>978-5-00156-068-5</t>
  </si>
  <si>
    <t>698505.02.01</t>
  </si>
  <si>
    <t>Правовые льготы: Моногр. / И.С.Барзилова - М.:НИЦ ИНФРА-М,2023 - 207 с.-(Науч.мысль)(О)</t>
  </si>
  <si>
    <t>ПРАВОВЫЕ ЛЬГОТЫ</t>
  </si>
  <si>
    <t>Барзилова И.С.</t>
  </si>
  <si>
    <t>978-5-16-014799-4</t>
  </si>
  <si>
    <t>325300.10.01</t>
  </si>
  <si>
    <t>Правовые модели и реальность: Моногр. / О.А.Акопян и др. - М.:НИЦ ИНФРА-М,2025 - 280 с.(ИЗиСП)(о)</t>
  </si>
  <si>
    <t>ПРАВОВЫЕ МОДЕЛИ И РЕАЛЬНОСТЬ</t>
  </si>
  <si>
    <t>Акопян О.А., Власова Н.В., Грачева С.А. и др.</t>
  </si>
  <si>
    <t>978-5-16-010542-0</t>
  </si>
  <si>
    <t>695391.03.01</t>
  </si>
  <si>
    <t>Правовые модели управления: Монография / Д.В.Осинцев-М.:НИЦ ИНФРА-М,2023.-309 с..-(Науч.мысль)(П)</t>
  </si>
  <si>
    <t>ПРАВОВЫЕ МОДЕЛИ УПРАВЛЕНИЯ</t>
  </si>
  <si>
    <t>Осинцев Д.В.</t>
  </si>
  <si>
    <t>978-5-16-014628-7</t>
  </si>
  <si>
    <t>682408.03.01</t>
  </si>
  <si>
    <t>Правовые основы механизма реализации конституц. права.. /Добрынин Н.М.-М.:НИЦ ИНФРА-М,2023-177с(О)</t>
  </si>
  <si>
    <t>ПРАВОВЫЕ ОСНОВЫ МЕХАНИЗМА РЕАЛИЗАЦИИ КОНСТИТУЦИОННОГО ПРАВА НА СОЦИАЛЬНОЕ ОБЕСПЕЧЕНИЕ В РОССИЙСКОЙ ФЕДЕРАЦИИ</t>
  </si>
  <si>
    <t>Байматов П.Н., Добрынин Н.М., Добрынин Н.М. и др.</t>
  </si>
  <si>
    <t>978-5-16-014559-4</t>
  </si>
  <si>
    <t>38.04.04, 40.04.01, 41.04.02, 41.04.04, 44.04.01, 46.04.01</t>
  </si>
  <si>
    <t>694254.01.01</t>
  </si>
  <si>
    <t>Правовые основы орг. взаимного страхов. в России...: Моногр. / В.М.Бартош - М.:НИЦ ИНФРА-М,2019-252с</t>
  </si>
  <si>
    <t>ПРАВОВЫЕ ОСНОВЫ ОРГАНИЗАЦИИ ВЗАИМНОГО СТРАХОВАНИЯ В РОССИИ: ПРОБЛЕМЫ ТЕОРИИ И ПРАКТИКИ</t>
  </si>
  <si>
    <t>Бартош В.М.</t>
  </si>
  <si>
    <t>978-5-16-014603-4</t>
  </si>
  <si>
    <t>171950.11.01</t>
  </si>
  <si>
    <t>Правовые основы производства по уголовным делам..: Монгр. / О.В.Левченко - М.:НИЦ ИНФРА-М,2025 - 124 с.(О)</t>
  </si>
  <si>
    <t>ПРАВОВЫЕ ОСНОВЫ ПРОИЗВОДСТВА ПО УГОЛОВНЫМ ДЕЛАМ В ОТНОШЕНИИ НЕСОВЕРШЕННОЛЕТНИХ</t>
  </si>
  <si>
    <t>Левченко О.В., Мищенко Е.В.</t>
  </si>
  <si>
    <t>978-5-16-005311-0</t>
  </si>
  <si>
    <t>773668.01.01</t>
  </si>
  <si>
    <t>Правовые основы расторжения брака в Респ. Узбекистан: Моногр./ Э.Х.Эгамбердиев-М.:НИЦ ИНФРА-М,2022-230с(О)</t>
  </si>
  <si>
    <t>ПРАВОВЫЕ ОСНОВЫ РАСТОРЖЕНИЯ БРАКА В РЕСПУБЛИКЕ УЗБЕКИСТАН</t>
  </si>
  <si>
    <t>Эгамбердиев Э.Х.</t>
  </si>
  <si>
    <t>978-5-16-017582-9</t>
  </si>
  <si>
    <t>690280.06.01</t>
  </si>
  <si>
    <t>Правовые основы рос. революц. преобр. 1917 г.: Моногр./Под ред. Пашенцева Д.А.-М.:НИЦ ИНФРА-М,2024-199с.(Науч.мысль)(о)</t>
  </si>
  <si>
    <t>ПРАВОВЫЕ ОСНОВЫ РОССИЙСКИХ РЕВОЛЮЦИОННЫХ ПРЕОБРАЗОВАНИЙ 1917 ГОДА</t>
  </si>
  <si>
    <t>Пашенцев Д.А., Боголюбов С.А., Алексеева Л.Л. и др.</t>
  </si>
  <si>
    <t>978-5-16-014751-2</t>
  </si>
  <si>
    <t>40.03.01, 40.04.01, 46.04.01</t>
  </si>
  <si>
    <t>730121.02.01</t>
  </si>
  <si>
    <t>Правовые основы участия органов публичной власти...: Моногр. / Н.П.Поставная - М.:НИЦ ИНФРА-М,2022 - 159 с.(О)</t>
  </si>
  <si>
    <t>ПРАВОВЫЕ ОСНОВЫ УЧАСТИЯ ОРГАНОВ ПУБЛИЧНОЙ ВЛАСТИ В ГРАДОСТРОИТЕЛЬНОЙ ДЕЯТЕЛЬНОСТИ</t>
  </si>
  <si>
    <t>Поставная Н.П., Боголюбов С.А.</t>
  </si>
  <si>
    <t>978-5-16-016023-8</t>
  </si>
  <si>
    <t>Московский государственный юридический университет им. О.Е. Кутафина, ф-л Оренбургский институт</t>
  </si>
  <si>
    <t>846460.02.01</t>
  </si>
  <si>
    <t>Правовые очерки технологич. революции: Моногр. / Т.Я.Хабриева - М.:Юр. НОРМА, НИЦ ИНФРА-М,2025 - 144 с.(о)</t>
  </si>
  <si>
    <t>ПРАВОВЫЕ ОЧЕРКИ ТЕХНОЛОГИЧЕСКОЙ РЕВОЛЮЦИИ</t>
  </si>
  <si>
    <t>978-5-00156-401-0</t>
  </si>
  <si>
    <t>15.04.02, 38.05.01, 40.04.01, 40.05.01, 40.05.02, 40.05.03, 40.05.04</t>
  </si>
  <si>
    <t>777880.03.01</t>
  </si>
  <si>
    <t>Правовые пробл. устойчивого пространств. развития гос. - участников СНГ / Е.А.Галиновская -М.:НИЦ ИНФРА-М,2024-456с.(П)</t>
  </si>
  <si>
    <t>ПРАВОВЫЕ ПРОБЛЕМЫ УСТОЙЧИВОГО ПРОСТРАНСТВЕННОГО РАЗВИТИЯ ГОСУДАРСТВ - УЧАСТНИКОВ СНГ</t>
  </si>
  <si>
    <t>Галиновская Е.А., Пономарев М.В., Азимзода А.Ш. и др.</t>
  </si>
  <si>
    <t>978-5-16-017681-9</t>
  </si>
  <si>
    <t>05.03.02, 05.06.01, 40.04.01, 40.06.01</t>
  </si>
  <si>
    <t>718663.04.01</t>
  </si>
  <si>
    <t>Правовые средства обеспечения финансовой безоп.: Моногр. / И.И.Кучеров-М.:Юр.Норма, НИЦ ИНФРА-М,2022-240с(П)</t>
  </si>
  <si>
    <t>ПРАВОВЫЕ СРЕДСТВА ОБЕСПЕЧЕНИЯ ФИНАНСОВОЙ БЕЗОПАСНОСТИ</t>
  </si>
  <si>
    <t>Кучеров И.И., Поветкина Н.А.</t>
  </si>
  <si>
    <t>978-5-00156-022-7</t>
  </si>
  <si>
    <t>38.04.08, 38.04.09, 40.04.01</t>
  </si>
  <si>
    <t>786373.01.01</t>
  </si>
  <si>
    <t>Правообразующая деят. государства: теория...: Моногр. / К.Р.Мурсалимов-М.:ИНФРА-М,2024-185с.(п)</t>
  </si>
  <si>
    <t>ПРАВООБРАЗУЮЩАЯ ДЕЯТЕЛЬНОСТЬ ГОСУДАРСТВА: ТЕОРИЯ, МЕТОДОЛОГИЯ, ПРАКТИКА</t>
  </si>
  <si>
    <t>Мурсалимов К.Р.</t>
  </si>
  <si>
    <t>978-5-16-019236-9</t>
  </si>
  <si>
    <t>733756.06.01</t>
  </si>
  <si>
    <t>Правоотношение (нравственность совр. правового регулир.): Моногр. / П.П.Серков - М.:Юр.Норма,2025-688 с.(П)</t>
  </si>
  <si>
    <t>ПРАВООТНОШЕНИЕ (НРАВСТВЕННОСТЬ СОВРЕМЕННОГО ПРАВОВОГО РЕГУЛИРОВАНИЯ)</t>
  </si>
  <si>
    <t>Серков П.П.</t>
  </si>
  <si>
    <t>978-5-00156-063-0</t>
  </si>
  <si>
    <t>782710.02.01</t>
  </si>
  <si>
    <t>Правоотношение (теория и прак. совр...): В 2 т.Т.2 / П.П.Серков - М.:Юр. НОРМА, НИЦ ИНФРА-М,2025. - 672 с.(П)</t>
  </si>
  <si>
    <t>ПРАВООТНОШЕНИЕ (ТЕОРИЯ И ПРАКТИКА СОВРЕМЕННОЙ ПРАВОВОЙ ПОЛИТИКИ), Т.2</t>
  </si>
  <si>
    <t>978-5-00156-247-4</t>
  </si>
  <si>
    <t>781313.01.01</t>
  </si>
  <si>
    <t>Правоотношение (теория и прак. совр...): Т. 1 / П.П.Серков-М.:Юр. НОРМА, НИЦ ИНФРА-М,2023.-872 с.(П)</t>
  </si>
  <si>
    <t>ПРАВООТНОШЕНИЕ (ТЕОРИЯ И ПРАКТИКА СОВРЕМЕННОЙ ПРАВОВОЙ ПОЛИТИКИ), Т.1</t>
  </si>
  <si>
    <t>978-5-00156-234-4</t>
  </si>
  <si>
    <t>853088.01.01</t>
  </si>
  <si>
    <t>Правоотношение (Теория и прак..): Ч. 1: Моногр. / П.П.Серков-М.:Юр. НОРМА,2025.-1056 с.(п)</t>
  </si>
  <si>
    <t>ПРАВООТНОШЕНИЕ (ТЕОРИЯ И ПРАКТИКА ПРАВОВОГО РЕГУЛИРОВАНИЯ ЭКОНОМИКИ), Т.1</t>
  </si>
  <si>
    <t>978-5-00156-429-4</t>
  </si>
  <si>
    <t>38.04.01, 38.05.01, 38.06.01, 40.04.01, 40.05.01, 40.05.02, 40.06.01</t>
  </si>
  <si>
    <t>685030.06.01</t>
  </si>
  <si>
    <t>Правоотношение (теория и практ.совр.прав.регулир.) Ч.1: Моногр. / А.И.Серков - М.:Юр.Норма,2025 - 512 с.(П)</t>
  </si>
  <si>
    <t>ПРАВООТНОШЕНИЕ (ТЕОРИЯ И ПРАКТИКА СОВРЕМЕННОГО ПРАВОВОГО РЕГУЛИРОВАНИЯ), Т.1</t>
  </si>
  <si>
    <t>978-5-91768-941-8</t>
  </si>
  <si>
    <t>685031.06.01</t>
  </si>
  <si>
    <t>Правоотношение(теория и практ.соврем.правов.регулир.):Части 2,3 / П.П.Серков - М.:Юр.Норма,2025 - 1088 с.(П)</t>
  </si>
  <si>
    <t>ПРАВООТНОШЕНИЕ (ТЕОРИЯ И ПРАКТИКА СОВРЕМЕННОГО ПРАВОВОГО РЕГУЛИРОВАНИЯ) ЧАСТИ ВТОРАЯ И ТРЕТЬЯ, Т.2</t>
  </si>
  <si>
    <t>978-5-91768-940-1</t>
  </si>
  <si>
    <t>855182.01.01</t>
  </si>
  <si>
    <t>Правоотношения (Теория и прак...). Ч. 2: Моногр. / П.П.Серков-М.:Юр. НОРМА,2025.-1176 с.(п)</t>
  </si>
  <si>
    <t>ПРАВООТНОШЕНИЯ (ТЕОРИЯ И ПРАКТИКА ПРАВОВОГО РЕГУЛИРОВАНИЯ ЭКОНОМИКИ), Т.2</t>
  </si>
  <si>
    <t>978-5-00156-437-9</t>
  </si>
  <si>
    <t>38.04.01, 38.05.01, 40.04.01, 40.05.01, 40.05.02, 40.05.04</t>
  </si>
  <si>
    <t>804565.01.01</t>
  </si>
  <si>
    <t>Правоохранительная деят. военной полиции Вооруженных Сил РФ/ С.А.Минтягов-М.:НИЦ ИНФРА-М,2023.-318 с.(П)</t>
  </si>
  <si>
    <t>ПРАВООХРАНИТЕЛЬНАЯ ДЕЯТЕЛЬНОСТЬ ВОЕННОЙ ПОЛИЦИИ ВООРУЖЕННЫХ СИЛ РОССИЙСКОЙ ФЕДЕРАЦИИ</t>
  </si>
  <si>
    <t>Минтягов С.А.</t>
  </si>
  <si>
    <t>978-5-16-018574-3</t>
  </si>
  <si>
    <t>682232.01.01</t>
  </si>
  <si>
    <t>Правоприменительная практика в области бюджета:: Моногр. / Х.В.Пешкова-М.:НИЦ ИНФРА-М,2022.-239 с.(Науч.мысль)(П)</t>
  </si>
  <si>
    <t>ПРАВОПРИМЕНИТЕЛЬНАЯ ПРАКТИКА В ОБЛАСТИ БЮДЖЕТА: ТЕОРЕТИКО-ПРАВОВЫЕ И СУДЕБНО-АРБИТРАЖНЫЕ АСПЕКТЫ</t>
  </si>
  <si>
    <t>Пешкова Х.В., Пачкун В.В.</t>
  </si>
  <si>
    <t>978-5-16-017084-8</t>
  </si>
  <si>
    <t>38.03.01, 38.03.04, 38.04.01, 38.04.08, 38.06.01, 40.03.01, 40.04.01, 40.06.01</t>
  </si>
  <si>
    <t>853435.01.01</t>
  </si>
  <si>
    <t>Православие и русская литература: Моногр. / Р.А.Алексеев. - М.:НИЦ ИНФРА-М,2026. - 234 с.(Науч.мысль)(п)</t>
  </si>
  <si>
    <t>ПРАВОСЛАВИЕ И РУССКАЯ ЛИТЕРАТУРА</t>
  </si>
  <si>
    <t>Алексеев Р.А., Козьякова Н.С., Шакурова Н.Е.</t>
  </si>
  <si>
    <t>978-5-16-020919-7</t>
  </si>
  <si>
    <t>44.03.01, 44.03.05, 48.03.01</t>
  </si>
  <si>
    <t>665872.05.01</t>
  </si>
  <si>
    <t>Православная символика в ист. рус. словесности: Моногр. / И.В.Волосков-М.:НИЦ ИНФРА-М,2024.-130с.(О)</t>
  </si>
  <si>
    <t>ПРАВОСЛАВНАЯ СИМВОЛИКА В ИСТОРИИ РУССКОЙ СЛОВЕСНОСТИ</t>
  </si>
  <si>
    <t>Волосков И.В.</t>
  </si>
  <si>
    <t>978-5-16-013503-8</t>
  </si>
  <si>
    <t>45.03.01, 51.03.01, 51.03.06, 52.03.04, 52.03.05</t>
  </si>
  <si>
    <t>Национальный гуманитарный институт социального управления</t>
  </si>
  <si>
    <t>АКАДЕМУС-2089, Победитель</t>
  </si>
  <si>
    <t>838556.01.01</t>
  </si>
  <si>
    <t>Правосознание как источник права: из истории философии...: Моногр. / А.М.Михайлов - М.:НИЦ ИНФРА-М,2025. - 431 с.(п)</t>
  </si>
  <si>
    <t>ПРАВОСОЗНАНИЕ КАК ИСТОЧНИК ПРАВА: ИЗ ИСТОРИИ ФИЛОСОФИИ ПРАВА И ОБЩЕЙ ТЕОРИИ ПРАВА</t>
  </si>
  <si>
    <t>Михайлов А.М.</t>
  </si>
  <si>
    <t>978-5-16-020292-1</t>
  </si>
  <si>
    <t>158000.05.01</t>
  </si>
  <si>
    <t>Правосудие в современном мире: Моногр. / Под ред.Хабриевой Т.Я. - 2 изд. - М.:Юр.Норма,2018-704с(П)</t>
  </si>
  <si>
    <t>ПРАВОСУДИЕ В СОВРЕМЕННОМ МИРЕ, ИЗД.2</t>
  </si>
  <si>
    <t>Хабриева Т.Я., Лебедев В.М.</t>
  </si>
  <si>
    <t>978-5-91768-883-1</t>
  </si>
  <si>
    <t>40.03.01, 40.04.01, 40.05.01, 40.05.02, 40.05.03, 40.05.04, 44.03.05</t>
  </si>
  <si>
    <t>764227.03.01</t>
  </si>
  <si>
    <t>Правосудие и справедливость: Моногр. / М.И.Клеандров - М.:Юр.Норма, НИЦ ИНФРА-М,2022 - 364 с.(П)</t>
  </si>
  <si>
    <t>ПРАВОСУДИЕ И СПРАВЕДЛИВОСТЬ</t>
  </si>
  <si>
    <t>978-5-00156-194-1</t>
  </si>
  <si>
    <t>764227.05.01</t>
  </si>
  <si>
    <t>Правосудие и справедливость: Моногр. / М.И.Клеандров, - 3 изд. - М.:Юр. НОРМА, НИЦ ИНФРА-М,2025. - 656 с.(п)</t>
  </si>
  <si>
    <t>ПРАВОСУДИЕ И СПРАВЕДЛИВОСТЬ, ИЗД.2</t>
  </si>
  <si>
    <t>978-5-00156-417-1</t>
  </si>
  <si>
    <t>670757.06.01</t>
  </si>
  <si>
    <t>Правосудие: ориентация на Конституцию: Моногр. / Н.С.Бондарь - М.:Юр.Норма,НИЦ ИНФРА-М,2024-224с.(П)</t>
  </si>
  <si>
    <t>ПРАВОСУДИЕ: ОРИЕНТАЦИЯ НА КОНСТИТУЦИЮ</t>
  </si>
  <si>
    <t>Бондарь Н.С., Джагарян А.А.</t>
  </si>
  <si>
    <t>978-5-91768-870-1</t>
  </si>
  <si>
    <t>775902.03.01</t>
  </si>
  <si>
    <t>Правотворчество в XXI в.: эволюц. доктрины и практики / В.В.Лазарев - М.:Юр. НОРМА, НИЦ ИНФРА-М,2026. - 344 с.(П)</t>
  </si>
  <si>
    <t>ПРАВОТВОРЧЕСТВО В XXI ВЕКЕ: ЭВОЛЮЦИЯ ДОКТРИНЫ И ПРАКТИКИ (К 90-ЛЕТИЮ СО ДНЯ РОЖДЕНИЯ А.С.ПИГОЛКИНА)</t>
  </si>
  <si>
    <t>Лазарев В.В.</t>
  </si>
  <si>
    <t>978-5-00156-240-5</t>
  </si>
  <si>
    <t>40.03.01, 40.05.01, 40.05.02, 40.05.04, 40.06.01</t>
  </si>
  <si>
    <t>851834.03.01</t>
  </si>
  <si>
    <t>Правотворчество в условиях международной регионализации / А.И.Абрамова - М.:НИЦ ИНФРА-М,2026. - 224 с.(п)</t>
  </si>
  <si>
    <t>ПРАВОТВОРЧЕСТВО В УСЛОВИЯХ МЕЖДУНАРОДНОЙ РЕГИОНАЛИЗАЦИИ</t>
  </si>
  <si>
    <t>Абрамова А.И., Андриченко Л.В., Бондарь Н.С. и др.</t>
  </si>
  <si>
    <t>978-5-16-020773-5</t>
  </si>
  <si>
    <t>40.04.01, 40.05.01, 40.06.01</t>
  </si>
  <si>
    <t>673986.03.01</t>
  </si>
  <si>
    <t>Практико-ориентир. научно-технич. клубы: Моногр. / Под ред. Мальцевой А.А. - М.:НИЦ ИНФРА-М,2025. - 372 с.(о)</t>
  </si>
  <si>
    <t>ПРАКТИКО-ОРИЕНТИРОВАННЫЕ НАУЧНО-ТЕХНИЧЕСКИЕ КЛУБЫ КАК НОВЫЙ ФОРМАТ ОРГАНИЗАЦИИ ДОПОЛНИТЕЛЬНОГО ИНЖЕНЕРНОГО ОБРАЗОВАНИЯ</t>
  </si>
  <si>
    <t>Барсукова Н.Е., Веселов И.Н., Каплунов И.А. и др.</t>
  </si>
  <si>
    <t>978-5-16-014831-1</t>
  </si>
  <si>
    <t>39.04.03, 39.06.01, 44.04.04, 44.06.01</t>
  </si>
  <si>
    <t>460950.06.01</t>
  </si>
  <si>
    <t>Практико-ориентированные подходы  к  разраб. и оцен.совр..: Моногр./Т.Р.Орехова-ИНФРА-М, 2024-84с(о)</t>
  </si>
  <si>
    <t>ПРАКТИКО-ОРИЕНТИРОВАННЫЕ ПОДХОДЫ  К  РАЗРАБОТКЕ  И ОЦЕНКЕ  СОВРЕМЕННОЙ МОДЕЛИ РОСТА ЭКОНОМИКИ РОССИИ</t>
  </si>
  <si>
    <t>Орехова Т. Р., Карагодина О. В., Орехов В. И., Орехова Т. Р.</t>
  </si>
  <si>
    <t>978-5-16-009505-9</t>
  </si>
  <si>
    <t>656376.02.01</t>
  </si>
  <si>
    <t>Практические вопросы муниц. упр. эконом.город.посел.в России../ А.Н.Сыров-М.:ИЦ РИОР, НИЦ ИНФРА-М,2019-207с</t>
  </si>
  <si>
    <t>ПРАКТИЧЕСКИЕ ВОПРОСЫ МУНИЦИПАЛЬНОГО УПРАВЛЕНИЯ ЭКОНОМИКОЙ ГОРОДСКОГО ПОСЕЛЕНИЯ В РОССИИ</t>
  </si>
  <si>
    <t>Сыров А.Н.</t>
  </si>
  <si>
    <t>978-5-369-01684-8</t>
  </si>
  <si>
    <t>38.03.04, 38.04.04, 44.03.05, 51.03.02</t>
  </si>
  <si>
    <t>Администрация г. Люберцы</t>
  </si>
  <si>
    <t>708462.02.01</t>
  </si>
  <si>
    <t>Практические приложения анализа среды функц...: Моногр./ С.В.Ратнер-Москва:ИНФРА-М,2023-231с.(Науч. мысль)(О)</t>
  </si>
  <si>
    <t>ПРАКТИЧЕСКИЕ ПРИЛОЖЕНИЯ АНАЛИЗА СРЕДЫ ФУНКЦИОНИРОВАНИЯ (DATA ENVELOPMENT ANALYSIS) К РЕШЕНИЮ ЗАДАЧ ЭКОЛОГИЧЕСКОГО МЕНЕДЖМЕНТА</t>
  </si>
  <si>
    <t>Ратнер С.В.</t>
  </si>
  <si>
    <t>978-5-16-015288-2</t>
  </si>
  <si>
    <t>682645.02.01</t>
  </si>
  <si>
    <t>Предметные компетенции общего матем. образования...: Моногр./ В.И.Горбачев-М.:НИЦ ИНФРА-М,2023-403с.(О)</t>
  </si>
  <si>
    <t>ПРЕДМЕТНЫЕ КОМПЕТЕНЦИИ ОБЩЕГО МАТЕМАТИЧЕСКОГО ОБРАЗОВАНИЯ В КАТЕГОРИИ СУБЪЕКТНОГО РАЗВИТИЯ</t>
  </si>
  <si>
    <t>Горбачев В.И.</t>
  </si>
  <si>
    <t>978-5-16-015403-9</t>
  </si>
  <si>
    <t>44.03.01, 44.03.04, 44.03.05, 44.04.01, 44.04.02, 44.04.03, 44.04.04, 44.06.01</t>
  </si>
  <si>
    <t>429950.14.01</t>
  </si>
  <si>
    <t>Предотвращение хим. и бактер.загрязн.полосы отв.ЖД: Моногр./Н.И.Зубрев-М:ИНФРА-М,2024-142(Науч.мыс.)(о)</t>
  </si>
  <si>
    <t>ПРЕДОТВРАЩЕНИЕ ХИМИЧЕСКОГО И БАКТЕРИАЛЬНОГО ЗАГРЯЗНЕНИЯ ПОЛОСЫ ОТВОДА ЖЕЛЕЗНЫХ ДОРОГ</t>
  </si>
  <si>
    <t>Зубрев Н.И., Крошечкина И.Ю.</t>
  </si>
  <si>
    <t>978-5-16-006645-5</t>
  </si>
  <si>
    <t>06.03.02, 20.03.01, 20.04.01</t>
  </si>
  <si>
    <t>659148.03.01</t>
  </si>
  <si>
    <t>Предпринимательские риски: Моногр. / Н.Г.Синявский - М.:НИЦ ИНФРА-М,2025 - 177 с .(Науч.мысль-Фин.универ.)(О)</t>
  </si>
  <si>
    <t>ПРЕДПРИНИМАТЕЛЬСКИЕ РИСКИ</t>
  </si>
  <si>
    <t>Синявский Н.Г., Дадалко В.А.</t>
  </si>
  <si>
    <t>978-5-16-015172-4</t>
  </si>
  <si>
    <t>795917.01.01</t>
  </si>
  <si>
    <t>Предпринимательские экосистемы и сети в экономике...: Моног./Ю.Д.Белкин.-М.:НИЦ ИНФРА-М,2023.-217 с.(о)</t>
  </si>
  <si>
    <t>ПРЕДПРИНИМАТЕЛЬСКИЕ ЭКОСИСТЕМЫ И СЕТИ В ЭКОНОМИКЕ РАСПРЕДЕЛЕННОГО ПОЛЬЗОВАНИЯ: МЕХАНИЗМЫ УСТОЙЧИВОГО РАЗВИТИЯ В СФЕРЕ ТОВАРНОГО ОБРАЩЕНИЯ</t>
  </si>
  <si>
    <t>Белкин Ю.Д., Завьялов Д.В., Завьялова Н.Б. и др.</t>
  </si>
  <si>
    <t>978-5-16-018160-8</t>
  </si>
  <si>
    <t>38.04.06, 38.06.01</t>
  </si>
  <si>
    <t>779559.03.01</t>
  </si>
  <si>
    <t>Преемственное формир. стохастической культуры...: Моногр. / А.Ю.Полякова-М.:НИЦ ИНФРА-М,2023.-212 с.(О)</t>
  </si>
  <si>
    <t>ПРЕЕМСТВЕННОЕ ФОРМИРОВАНИЕ СТОХАСТИЧЕСКОЙ КУЛЬТУРЫ ШКОЛЬНИКОВ В УСЛОВИЯХ ЦИФРОВОЙ ТРАНСФОРМАЦИИ ОБЩЕГО ОБРАЗОВАНИЯ</t>
  </si>
  <si>
    <t>Полякова А.Ю.</t>
  </si>
  <si>
    <t>978-5-16-017792-2</t>
  </si>
  <si>
    <t>482150.05.01</t>
  </si>
  <si>
    <t>Президентская власть в США и ее представ...: Моногр. / А.Ю.Саломатин - М.:Юр.Норма,НИЦ ИНФРА-М,2025 - 240 с.(о)</t>
  </si>
  <si>
    <t>ПРЕЗИДЕНТСКАЯ ВЛАСТЬ В США И ЕЕ ПРЕДСТАВИТЕЛИ (СРАВНИТЕЛЬНЫЕ ПОЛИТОЛОГИЧЕСКИЕ И КОНСТИТУЦИОННО-ПРАВОВЫЕ ОЧЕРКИ)</t>
  </si>
  <si>
    <t>Саломатин А. Ю.</t>
  </si>
  <si>
    <t>978-5-91768-565-6</t>
  </si>
  <si>
    <t>40.03.01, 40.04.01, 41.03.01, 41.03.04, 41.03.06, 41.04.01, 41.04.04</t>
  </si>
  <si>
    <t>666707.05.01</t>
  </si>
  <si>
    <t>Прекращение гос.-служебных отнош...: Моногр. / Р.С.Сорокин - М:ИЦ РИОР,НИЦ ИНФРА-М,2021 - 118 с.(О)</t>
  </si>
  <si>
    <t>ПРЕКРАЩЕНИЕ ГОСУДАРСТВЕННО-СЛУЖЕБНЫХ ОТНОШЕНИЙ ВСЛЕДСТВИЕ НЕСОБЛЮДЕНИЯ ЗАКОНОДАТЕЛЬСТВА О ПРОТИВОДЕЙСТВИИ КОРРУПЦИИ</t>
  </si>
  <si>
    <t>Сорокин Р.С.</t>
  </si>
  <si>
    <t>978-5-369-01713-5</t>
  </si>
  <si>
    <t>38.03.01, 38.03.04, 38.04.04, 44.03.05</t>
  </si>
  <si>
    <t>Российская академия народного хозяйства и государственной службы при Президенте РФ, ф-л Поволжский институт управления имени П.А.Столыпина</t>
  </si>
  <si>
    <t>489400.06.01</t>
  </si>
  <si>
    <t>Преподаватели вузов России: формир. и развитие: Моногр./ С.Д.Резник, - 2 изд.,-М.:НИЦ ИНФРА-М,2022-140с.(О)</t>
  </si>
  <si>
    <t>ПРЕПОДАВАТЕЛИ ВУЗОВ РОССИИ: ФОРМИРОВАНИЕ И РАЗВИТИЕ ПРОФЕССИОНАЛЬНЫХ КОМПЕТЕНЦИЙ, ИЗД.2</t>
  </si>
  <si>
    <t>Резник С.Д., Вдовина О.А.</t>
  </si>
  <si>
    <t>978-5-16-015900-3</t>
  </si>
  <si>
    <t>38.06.01, 40.06.01, 44.06.01</t>
  </si>
  <si>
    <t>489400.02.01</t>
  </si>
  <si>
    <t>Преподаватели вузов России: формир.и развитие...: Моногр./ С.Д.Резник-М.:НИЦ ИНФРА-М,2017-140с(О)</t>
  </si>
  <si>
    <t>ПРЕПОДАВАТЕЛИ ВУЗОВ РОССИИ: ФОРМИРОВАНИЕ И РАЗВИТИЕ ПРОФЕССИОНАЛЬНЫХ КОМПЕТЕНЦИЙ</t>
  </si>
  <si>
    <t>978-5-16-011756-0</t>
  </si>
  <si>
    <t>747877.01.01</t>
  </si>
  <si>
    <t>Пресса становится властью: Политич. дискус..: Моногр. / М.А.Филимонова, - 2 изд.-М.:НИЦ ИНФРА-М,2021.-203 с.(О)</t>
  </si>
  <si>
    <t>ПРЕССА СТАНОВИТСЯ ВЛАСТЬЮ: ПОЛИТИЧЕСКИЕ ДИСКУССИИ НА СТРАНИЦАХ ПЕРИОДИЧЕСКОЙ ПЕЧАТИ США В КОНЦЕ XVIII ВЕКА, ИЗД.2</t>
  </si>
  <si>
    <t>978-5-16-016672-8</t>
  </si>
  <si>
    <t>41.03.06, 41.04.04, 41.06.01</t>
  </si>
  <si>
    <t>128450.09.01</t>
  </si>
  <si>
    <t>Преступление и борьба с ним. Уголовная психология...: Моногр. / Г.Ашаффенбург.-М.:НИЦ ИНФРА-М,2021.-249 с.(П)</t>
  </si>
  <si>
    <t>ПРЕСТУПЛЕНИЕ И БОРЬБА С НИМ</t>
  </si>
  <si>
    <t>Ашаффенбург Г., Овчинский В. С., Федоров А. В.</t>
  </si>
  <si>
    <t>978-5-16-016775-6</t>
  </si>
  <si>
    <t>285700.09.01</t>
  </si>
  <si>
    <t>Преступление и наказание: кримин.-психол. анализ: Моног. /Ю.М.Антонян -М:Норма,НИЦ ИНФРА-М,2024-304с</t>
  </si>
  <si>
    <t>ПРЕСТУПЛЕНИЕ И НАКАЗАНИЕ: КРИМИНОЛОГО-ПСИХОЛОГИЧЕСКИЙ АНАЛИЗ</t>
  </si>
  <si>
    <t>978-5-91768-498-7</t>
  </si>
  <si>
    <t>31.08.24, 37.04.01, 40.03.01, 40.04.01, 40.05.02, 40.06.01</t>
  </si>
  <si>
    <t>673893.05.01</t>
  </si>
  <si>
    <t>Преступление, обреченное на провал...: Моногр. / В.Н.Некрасов - М.:НИЦ ИНФРА-М,2025 - 172 с.(О)</t>
  </si>
  <si>
    <t>ПРЕСТУПЛЕНИЕ, ОБРЕЧЕННОЕ НА ПРОВАЛ: ОСОБЕННОСТИ ЗАКОНОДАТЕЛЬНОГО КОНСТРУИРОВАНИЯ</t>
  </si>
  <si>
    <t>Некрасов В.Н.</t>
  </si>
  <si>
    <t>978-5-16-013611-0</t>
  </si>
  <si>
    <t>051100.13.01</t>
  </si>
  <si>
    <t>Преступление. Новейшие успехи науки о преступнике. Анархисты / Ч.Ломброзо - М.:НИЦ ИНФРА-М,2025. - 314 с.(П)</t>
  </si>
  <si>
    <t>ПРЕСТУПЛЕНИЕ. НОВЕЙШИЕ УСПЕХИ НАУКИ О ПРЕСТУПНИКЕ. АНАРХИСТЫ</t>
  </si>
  <si>
    <t>Ломброзо Ч., Овчинский В.С.</t>
  </si>
  <si>
    <t>978-5-16-001715-0</t>
  </si>
  <si>
    <t>054270.10.01</t>
  </si>
  <si>
    <t>Преступник и преступление. Сравн. преступн. Преступл. толпы / Г. де Тард. - ИНФРА-М, 2024. - 391 с. (п)</t>
  </si>
  <si>
    <t>ПРЕСТУПНИК И ПРЕСТУПЛЕНИЕ. СРАВНИТЕЛЬНАЯ ПРЕСТУПНОСТЬ. ПРЕСТУПЛЕНИЯ ТОЛПЫ</t>
  </si>
  <si>
    <t>Тард Г., Овчинский В. С.</t>
  </si>
  <si>
    <t>5-16-001978-2</t>
  </si>
  <si>
    <t>687050.04.01</t>
  </si>
  <si>
    <t>Преступник. Основные понятия и черты личности: монография / В.Е.Эминов-М.:Юр. НОРМА, НИЦ ИНФРА-М,2023.-384 с.(п)</t>
  </si>
  <si>
    <t>ПРЕСТУПНИК. ОСНОВНЫЕ ПОНЯТИЯ И ЧЕРТЫ ЛИЧНОСТИ</t>
  </si>
  <si>
    <t>Эминов В.Е., Антонян Ю.М.</t>
  </si>
  <si>
    <t>978-5-91768-946-3</t>
  </si>
  <si>
    <t>085650.10.01</t>
  </si>
  <si>
    <t>Преступное насилие. Преступность в городах /Сост. и вступ. ст. А.С.Овчинского.-ИНФРА-М, 2024- 408 с. (п)</t>
  </si>
  <si>
    <t>ПРЕСТУПНОЕ НАСИЛИЕ. ПРЕСТУПНОСТЬ В ГОРОДАХ</t>
  </si>
  <si>
    <t>Овчинский А. С., Овчинский В. С.</t>
  </si>
  <si>
    <t>978-5-16-003139-2</t>
  </si>
  <si>
    <t>792931.02.01</t>
  </si>
  <si>
    <t>Преступное сообщество..: Моногр. / М.П.Клеймёнов - М.:Юр. НОРМА, НИЦ ИНФРА-М,2026. - 232 с.(П)</t>
  </si>
  <si>
    <t>ПРЕСТУПНОЕ СООБЩЕСТВО:КРИМИНОЛОГО-ПРАВОВОЙ АНАЛИЗ</t>
  </si>
  <si>
    <t>Клеймёнов М.П., Клейменов И.М., Козловская М.Г.</t>
  </si>
  <si>
    <t>978-5-00156-273-3</t>
  </si>
  <si>
    <t>00.05.08, 10.05.05, 40.02.02, 40.03.01, 40.05.01, 40.05.02, 40.05.03, 40.05.04, 44.05.01</t>
  </si>
  <si>
    <t>409300.12.01</t>
  </si>
  <si>
    <t>Преступность в истории человечества: Моногр. / Ю.М.Антонян - М.:Юр.Норма, НИЦ ИНФРА-М,2026. - 208 с.(О)</t>
  </si>
  <si>
    <t>ПРЕСТУПНОСТЬ В ИСТОРИИ ЧЕЛОВЕЧЕСТВА</t>
  </si>
  <si>
    <t>Антонян Ю.М., Звизжова О.Ю.</t>
  </si>
  <si>
    <t>978-5-91768-320-1</t>
  </si>
  <si>
    <t>642078.08.01</t>
  </si>
  <si>
    <t>Преступность и нравы переходного общ.: Моногр. / В.Н.Кудрявцев - М.:Юр.Норма,НИЦ ИНФРА-М,2025 - 240 с.(П)</t>
  </si>
  <si>
    <t>ПРЕСТУПНОСТЬ И НРАВЫ ПЕРЕХОДНОГО ОБЩЕСТВА</t>
  </si>
  <si>
    <t>978-5-91768-772-8</t>
  </si>
  <si>
    <t>072500.11.01</t>
  </si>
  <si>
    <t>Преступность и преступники. Учение о преступ... / Д.А.Дриль - М.:ИНФРА-М Изд. Дом,2024 - 770 с.(П)</t>
  </si>
  <si>
    <t>ПРЕСТУПНОСТЬ И ПРЕСТУПНИКИ. УЧЕНИЕ О ПРЕСТУПНОСТИ И МЕРАХ БОРЬБЫ С НЕЮ</t>
  </si>
  <si>
    <t>Дриль Д. А., Овчинский В. С.</t>
  </si>
  <si>
    <t>978-5-16-002683-1</t>
  </si>
  <si>
    <t>680550.11.01</t>
  </si>
  <si>
    <t>Прецедентное право: Моногр. / И.Ю.Богдановская - М.:Юр.Норма, НИЦ ИНФРА-М,2025 - 240 с.(П)</t>
  </si>
  <si>
    <t>ПРЕЦЕДЕНТНОЕ ПРАВО</t>
  </si>
  <si>
    <t>Богдановская И.Ю.</t>
  </si>
  <si>
    <t>978-5-91768-901-2</t>
  </si>
  <si>
    <t>844587.01.01</t>
  </si>
  <si>
    <t>Преюдиции в уголов.-исполнит. праве: Моногр. / А.Я.Гришко - М.:НИЦ ИНФРА-М,2025. - 128 с.(о)</t>
  </si>
  <si>
    <t>ПРЕЮДИЦИИ В УГОЛОВНО-ИСПОЛНИТЕЛЬНОМ ПРАВЕ</t>
  </si>
  <si>
    <t>Гришко А.Я., Даланов Д.С.</t>
  </si>
  <si>
    <t>978-5-16-020531-1</t>
  </si>
  <si>
    <t>704209.06.01</t>
  </si>
  <si>
    <t>Преюдиция в уголовном судопроизводстве РФ: Моногр. / С.А.Лопатин - М.:Юр.Норма,2026.-208 с.(П)</t>
  </si>
  <si>
    <t>ПРЕЮДИЦИЯ В УГОЛОВНОМ СУДОПРОИЗВОДСТВЕ РОССИЙСКОЙ ФЕДЕРАЦИИ</t>
  </si>
  <si>
    <t>Лопатин С.А.</t>
  </si>
  <si>
    <t>978-5-91768-610-3</t>
  </si>
  <si>
    <t>670047.03.01</t>
  </si>
  <si>
    <t>Преюдиция как институциональное  явление: Монография / Р.А.Бурганов - М.:НИЦ ИНФРА-М,2022 - 134 с(О)</t>
  </si>
  <si>
    <t>ПРЕЮДИЦИЯ КАК ИНСТИТУЦИОНАЛЬНОЕ  ЯВЛЕНИЕ</t>
  </si>
  <si>
    <t>Бурганов Р.А., Бурганов Б.Р.</t>
  </si>
  <si>
    <t>978-5-16-013343-0</t>
  </si>
  <si>
    <t>430250.04.01</t>
  </si>
  <si>
    <t>Привлеченный персонал на предпр.: теор. и практ..:Моногр./ М.М.Иванова-М.:ИЦ РИОР:ИНФРА-М,2023-155с. (о)</t>
  </si>
  <si>
    <t>ПРИВЛЕЧЕННЫЙ ПЕРСОНАЛ НА ПРЕДПРИЯТИИ: ТЕОРЕТИЧЕСКИЕ И ПРАКТИЧЕСКИЕ АСПЕКТЫ ПРИМЕНЕНИЯ</t>
  </si>
  <si>
    <t>Иванова М. М., Родинова Н. П.</t>
  </si>
  <si>
    <t>978-5-369-01189-8</t>
  </si>
  <si>
    <t>38.03.01, 38.03.03, 38.03.04, 38.04.03, 40.03.01, 40.04.01, 41.03.06, 44.03.01, 44.03.05, 46.03.02</t>
  </si>
  <si>
    <t>735530.04.01</t>
  </si>
  <si>
    <t>Прием граждан и рассмотр. обращ. в след.органах: Моногр./ Под ред. Цветкова Ю.А.-М.:НИЦ ИНФРА-М,2024-399 с(П)</t>
  </si>
  <si>
    <t>ПРИЕМ ГРАЖДАН И РАССМОТРЕНИЕ ОБРАЩЕНИЙ В СЛЕДСТВЕННЫХ ОРГАНАХ</t>
  </si>
  <si>
    <t>Цветков Ю.А., Валов С.В., Бурынин С.С. и др.</t>
  </si>
  <si>
    <t>978-5-16-016228-7</t>
  </si>
  <si>
    <t>733752.04.01</t>
  </si>
  <si>
    <t>Прикладная филология: Монография / В.К.Харченко - М.:НИЦ ИНФРА-М,2024 - 217 с.-(Науч.мысль)(О)</t>
  </si>
  <si>
    <t>ПРИКЛАДНАЯ ФИЛОЛОГИЯ</t>
  </si>
  <si>
    <t>978-5-16-016117-4</t>
  </si>
  <si>
    <t>45.03.01, 50.03.01</t>
  </si>
  <si>
    <t>661225.02.01</t>
  </si>
  <si>
    <t>Прикладные воп.оценки тех.сос.судовых...: Моногр./ А.В.Неменко-М.:Вуз.уч., НИЦ ИНФРА-М,2018.-174с(О)</t>
  </si>
  <si>
    <t>ПРИКЛАДНЫЕ ВОПРОСЫ ОЦЕНКИ ТЕХНИЧЕСКОГО СОСТОЯНИЯ СУДОВЫХ МЕХАНИЧЕСКИХ СИСТЕМ</t>
  </si>
  <si>
    <t>Неменко А.В., Никитин М.М.</t>
  </si>
  <si>
    <t>978-5-9558-0579-5</t>
  </si>
  <si>
    <t>13.03.02, 15.03.04, 15.03.05, 15.04.05, 17.03.01, 26.03.02</t>
  </si>
  <si>
    <t>787430.01.01</t>
  </si>
  <si>
    <t>Прикладные нейро-нечеткие вычислит. сис..: Моногр. / М.В.Бобырь.-М.:НИЦ ИНФРА-М,2023.-263 с.(п)</t>
  </si>
  <si>
    <t>ПРИКЛАДНЫЕ НЕЙРО-НЕЧЕТКИЕ ВЫЧИСЛИТЕЛЬНЫЕ СИСТЕМЫ И УСТРОЙСТВА</t>
  </si>
  <si>
    <t>Бобырь М.В., Емельянов С.Г., Архипов А.Е. и др.</t>
  </si>
  <si>
    <t>978-5-16-017976-6</t>
  </si>
  <si>
    <t>345200.05.01</t>
  </si>
  <si>
    <t>Применение интеллект.материалов при произв., диагностиров.../ В.А.Зорин - 2 изд. - М:НИЦ ИНФРА-М,2024-110с.(О)</t>
  </si>
  <si>
    <t>ПРИМЕНЕНИЕ ИНТЕЛЛЕКТУАЛЬНЫХ МАТЕРИАЛОВ ПРИ ПРОИЗВОДСТВЕ, ДИАГНОСТИРОВАНИИ И РЕМОНТЕ МАШИН, ИЗД.2</t>
  </si>
  <si>
    <t>В.А.Зорин, Н.И.Баурова</t>
  </si>
  <si>
    <t>978-5-16-010801-8</t>
  </si>
  <si>
    <t>15.00.00, 23.00.00, 15.03.01, 15.03.02, 15.03.03, 15.03.05, 15.04.01, 15.04.02, 15.04.03, 15.04.05, 15.05.01, 15.06.01, 23.03.03, 23.04.03, 23.06.01</t>
  </si>
  <si>
    <t>670742.03.01</t>
  </si>
  <si>
    <t>Применение метода динам. упруг. для контр.качест..:Моногр./ А.М.Капитонов-М.:НИЦ ИНФРА-М,СФУ,2023-191с</t>
  </si>
  <si>
    <t>ПРИМЕНЕНИЕ МЕТОДА ДИНАМИЧЕСКОЙ УПРУГОСТИ ДЛЯ КОНТРОЛЯ КАЧЕСТВА ТВЕРДОСПЛАВНОГО ИНСТРУМЕНТА</t>
  </si>
  <si>
    <t>Капитонов А.М., Теремов С.Г., Редькин В.Е.</t>
  </si>
  <si>
    <t>978-5-16-013403-1</t>
  </si>
  <si>
    <t>15.04.02</t>
  </si>
  <si>
    <t>801686.01.01</t>
  </si>
  <si>
    <t>Применение неодимового лазера в хирург. стоматологии: моногр. / Е.А.Морозова и др. - М.:НИЦ ИНФРА-М,2024.-164 с.-(Науч.мысль)(п)</t>
  </si>
  <si>
    <t>ПРИМЕНЕНИЕ НЕОДИМОВОГО ЛАЗЕРА В ХИРУРГИЧЕСКОЙ СТОМАТОЛОГИИ</t>
  </si>
  <si>
    <t>Морозова Е.А., Тарасенко С.В., Тарасенко И.В.</t>
  </si>
  <si>
    <t>978-5-16-019682-4</t>
  </si>
  <si>
    <t>31.05.03, 31.08.74</t>
  </si>
  <si>
    <t>812891.01.01</t>
  </si>
  <si>
    <t>Применение совр. педагог. технолог. при орг. военно-профес.../Г.Я.Асакаев-М.:НИЦ ИНФРА-М,2024-162 с(о)</t>
  </si>
  <si>
    <t>ПРИМЕНЕНИЕ СОВРЕМЕННЫХ ПЕДАГОГИЧЕСКИХ ТЕХНОЛОГИЙ ПРИ ОРГАНИЗАЦИИ ВОЕННО-ПРОФЕССИОНАЛЬНОЙ ПОДГОТОВКИ КУРСАНТОВ В ВОЕННЫХ ИНСТИТУТАХ ВНГ РФ</t>
  </si>
  <si>
    <t>Асакаев Г.Я., Ермаков С.А., Ставицкий Д.В. и др.</t>
  </si>
  <si>
    <t>978-5-16-019388-5</t>
  </si>
  <si>
    <t>56.04.01, 56.04.09, 56.05.04</t>
  </si>
  <si>
    <t>641996.07.01</t>
  </si>
  <si>
    <t>Применение теории схем для формир. культурных фон...: Моногр./ Е.А.Макарова-М:НИЦ ИНФРА-М,2024-104с.(Научная мысль)(О)</t>
  </si>
  <si>
    <t>ПРИМЕНЕНИЕ ТЕОРИИ СХЕМ ДЛЯ ФОРМИРОВАНИЯ КУЛЬТУРНЫХ ФОНОВЫХ ЗНАНИЙ СТУДЕНТОВ И ИХ ИСПОЛЬЗОВАНИЕ В ПРЕПОДАВАНИИ ИНОСТРАННЫХ ЯЗЫКОВ</t>
  </si>
  <si>
    <t>Макарова Е.А.</t>
  </si>
  <si>
    <t>978-5-16-010347-1</t>
  </si>
  <si>
    <t>44.03.04, 44.03.05</t>
  </si>
  <si>
    <t>846430.01.01</t>
  </si>
  <si>
    <t>Применение электрохимич. активир. средств в растениевод.: Моногр. / И.В.Юдаев. - М.:НИЦ ИНФРА-М,2026. - 143 с.(о)</t>
  </si>
  <si>
    <t>ПРИМЕНЕНИЕ ЭЛЕКТРОХИМИЧЕСКИ АКТИВИРОВАННЫХ СРЕДСТВ В РАСТЕНИЕВОДСТВЕ</t>
  </si>
  <si>
    <t>Юдаев И.В., Белицкая М.Н., Нефедьева Е.Э. и др.</t>
  </si>
  <si>
    <t>978-5-16-020634-9</t>
  </si>
  <si>
    <t>775619.01.01</t>
  </si>
  <si>
    <t>Применение энтропии при моделир. процессов принятия...: Моногр. / А.В.Сигал.-М.:НИЦ ИНФРА-М,2022.-202 с.(О)</t>
  </si>
  <si>
    <t>ПРИМЕНЕНИЕ ЭНТРОПИИ ПРИ МОДЕЛИРОВАНИИ ПРОЦЕССОВ ПРИНЯТИЯ РЕШЕНИЙ В ЭКОНОМИКЕ</t>
  </si>
  <si>
    <t>Королев О.Л., Куссый М.Ю., Сигал А.В. и др.</t>
  </si>
  <si>
    <t>978-5-16-017653-6</t>
  </si>
  <si>
    <t>38.04.01, 38.04.02, 38.04.04, 38.05.01, 38.05.02, 38.06.01</t>
  </si>
  <si>
    <t>688530.04.01</t>
  </si>
  <si>
    <t>Приморские зоны России на Балтике...: Моногр. / Под ред. Дружинина А.Г. -М.:НИЦ ИНФРА-М,2023-216с(о)</t>
  </si>
  <si>
    <t>ПРИМОРСКИЕ ЗОНЫ РОССИИ НА БАЛТИКЕ: ФАКТОРЫ, ОСОБЕННОСТИ, ПЕРСПЕКТИВЫ И СТРАТЕГИИ ТРАНСГРАНИЧНОЙ КЛАСТЕРИЗАЦИИ</t>
  </si>
  <si>
    <t>Дружинин А.Г., Клемешев А.П., Федоров Г.М. и др.</t>
  </si>
  <si>
    <t>978-5-16-018618-4</t>
  </si>
  <si>
    <t>38.03.01, 38.04.01, 38.04.04, 38.05.01, 44.03.01</t>
  </si>
  <si>
    <t>241700.05.01</t>
  </si>
  <si>
    <t>Принцип оценочной актуализации в совр. англ. яз.: Моногр./И.В.Чекулай - М:НИЦ ИНФРА-М,2023-160с (о)</t>
  </si>
  <si>
    <t>ПРИНЦИП ОЦЕНОЧНОЙ АКТУАЛИЗАЦИИ В СОВРЕМЕННОМ АНГЛИЙСКОМ ЯЗЫКЕ</t>
  </si>
  <si>
    <t>Чекулай И. В., Прохорова О. Н., Багана Ж., Куприева И. А.</t>
  </si>
  <si>
    <t>978-5-16-009254-6</t>
  </si>
  <si>
    <t>829428.01.01</t>
  </si>
  <si>
    <t>Принцип эффектив. орг. и функционир. публич. власти: Моногр. / А.Ю.Ульянов - М.:НИЦ ИНФРА-М,2025. - 340 с.(п)</t>
  </si>
  <si>
    <t>ПРИНЦИП ЭФФЕКТИВНОСТИ ОРГАНИЗАЦИИ И ФУНКЦИОНИРОВАНИЯ ПУБЛИЧНОЙ ВЛАСТИ</t>
  </si>
  <si>
    <t>Ульянов А.Ю.</t>
  </si>
  <si>
    <t>978-5-16-020374-4</t>
  </si>
  <si>
    <t>40.04.01, 40.05.04, 40.06.01, 41.03.06</t>
  </si>
  <si>
    <t>756610.01.01</t>
  </si>
  <si>
    <t>Принципы бюджетной системы РФ: Моногр. / Под ред. Поветкиной Н.А.-М.:НИЦ ИНФРА-М,2021.-225 с.(О)</t>
  </si>
  <si>
    <t>ПРИНЦИПЫ БЮДЖЕТНОЙ СИСТЕМЫ РОССИЙСКОЙ ФЕДЕРАЦИИ: ТЕОРЕТИКО-ПРАВОВЫЕ ОСНОВЫ РЕАЛИЗАЦИИ</t>
  </si>
  <si>
    <t>Воронцов О.Г.</t>
  </si>
  <si>
    <t>978-5-16-016925-5</t>
  </si>
  <si>
    <t>38.03.01, 38.03.04, 38.04.01, 38.04.04, 38.04.08, 38.06.01, 40.03.01, 40.04.01, 40.06.01</t>
  </si>
  <si>
    <t>254700.07.01</t>
  </si>
  <si>
    <t>Принципы и инструменты финанс. иннов. в РФ: Моногр. / В.Е.Леонтьев - М.:ИНФРА-М, 2024-194с.(о)</t>
  </si>
  <si>
    <t>ПРИНЦИПЫ И ИНСТРУМЕНТЫ ФИНАНСИРОВАНИЯ ИННОВАЦИЙ В РОССИЙСКОЙ ФЕДЕРАЦИИ</t>
  </si>
  <si>
    <t>Леонтьев В. Е., Баранова А. Ю.</t>
  </si>
  <si>
    <t>978-5-16-009440-3</t>
  </si>
  <si>
    <t>764228.04.01</t>
  </si>
  <si>
    <t>Принципы права: Моногр. / А.В.Коновалов - М.:Юр.Норма,2026 - 792 с.(П)</t>
  </si>
  <si>
    <t>ПРИНЦИПЫ ПРАВА</t>
  </si>
  <si>
    <t>Коновалов А.В.</t>
  </si>
  <si>
    <t>978-5-00156-195-8</t>
  </si>
  <si>
    <t>807431.01.01</t>
  </si>
  <si>
    <t>Принципы справедливой войны: Монография / Н.А.Шавеко-М.:НИЦ ИНФРА-М,2024.-217 с.(Науч.мысль)(п)</t>
  </si>
  <si>
    <t>ПРИНЦИПЫ СПРАВЕДЛИВОЙ ВОЙНЫ</t>
  </si>
  <si>
    <t>978-5-16-018935-2</t>
  </si>
  <si>
    <t>41.04.04, 47.06.01</t>
  </si>
  <si>
    <t>675394.04.01</t>
  </si>
  <si>
    <t>Принципы уголовн. судопр. в сист. принцип. национ. права.../Т.Ю.Вилкова-М.:Юр.Норма,ИНФРА-М,2024-192с</t>
  </si>
  <si>
    <t>ПРИНЦИПЫ УГОЛОВНОГО СУДОПРОИЗВОДСТВА В СИСТЕМЕ ПРИНЦИПОВ НАЦИОНАЛЬНОГО ПРАВА: ОБЩЕПРАВОВЫЕ И МЕЖОТРАСЛЕВЫЕ АСПЕКТЫ</t>
  </si>
  <si>
    <t>Вилкова Т.Ю.</t>
  </si>
  <si>
    <t>978-5-91768-887-9</t>
  </si>
  <si>
    <t>40.06.01</t>
  </si>
  <si>
    <t>167450.10.01</t>
  </si>
  <si>
    <t>Принятие роли матери: клинико-психологический анализ / Т.Д. Василенко - М.: Форум, 2025-176с. (о)</t>
  </si>
  <si>
    <t>ПРИНЯТИЕ РОЛИ МАТЕРИ: КЛИНИКО-ПСИХОЛОГИЧЕСКИЙ АНАЛИЗ</t>
  </si>
  <si>
    <t>Василенко Т. Д., Земзюлина И. Н.</t>
  </si>
  <si>
    <t>978-5-91134-592-1</t>
  </si>
  <si>
    <t>37.00.00, 37.03.01, 37.03.02, 37.04.01, 37.04.02, 37.05.01, 37.06.01</t>
  </si>
  <si>
    <t>Курский государственный медицинский университет</t>
  </si>
  <si>
    <t>776631.01.01</t>
  </si>
  <si>
    <t>Приоритеты социально-экономич. развития сельских территорий... / З.В.Брагина.-М.:НИЦ ИНФРА-М,2022.-198с(О)</t>
  </si>
  <si>
    <t>ПРИОРИТЕТЫ СОЦИАЛЬНО-ЭКОНОМИЧЕСКОГО РАЗВИТИЯ СЕЛЬСКИХ ТЕРРИТОРИЙ В УСЛОВИЯХ ГЛОБАЛЬНЫХ ВЫЗОВОВ</t>
  </si>
  <si>
    <t>Брагина З.В., Василькова Т.М., Горбина Н.Н. и др.</t>
  </si>
  <si>
    <t>978-5-16-017730-4</t>
  </si>
  <si>
    <t>38.04.01, 38.04.02, 38.04.04, 38.06.01, 41.04.02, 41.06.01</t>
  </si>
  <si>
    <t>211300.06.01</t>
  </si>
  <si>
    <t>Природа и механизмы связ.атомов: Моногр. / А.А.Потапов - М.:ИЦ РИОР,НИЦ ИНФРА-М,2025 - 299с(Науч.мысль)(о)</t>
  </si>
  <si>
    <t>ПРИРОДА И МЕХАНИЗМЫ СВЯЗЫВАНИЯ АТОМОВ</t>
  </si>
  <si>
    <t>Потапов А.А.</t>
  </si>
  <si>
    <t>978-5-369-01220-8</t>
  </si>
  <si>
    <t>04.03.02</t>
  </si>
  <si>
    <t>667542.02.01</t>
  </si>
  <si>
    <t>Природа кризиса созн.в эпоху глобализ.: Моногр./ Л.Д.Рассказов,- 5изд.-М.:ИНФРА-М; Красноярск:Сиб.федер.ун-т.2020-203с</t>
  </si>
  <si>
    <t>ПРИРОДА КРИЗИСА СОЗНАНИЯ В ЭПОХУ ГЛОБАЛИЗАЦИИ: СОЦИАЛЬНО-ФИЛОСОФСКИЙ АНАЛИЗ АКТУАЛЬНЫХ ОБЩЕСТВЕННЫХ ЯВЛЕНИЙ, ИЗД.5</t>
  </si>
  <si>
    <t>978-5-16-013201-3</t>
  </si>
  <si>
    <t>0518</t>
  </si>
  <si>
    <t>744964.02.01</t>
  </si>
  <si>
    <t>Природная среда и жизнедеят. чел.: Моногр. / В.Е.Ходаков - М.:НИЦ ИНФРА-М,2023 - 421 с.-(Науч.мысль)(О)</t>
  </si>
  <si>
    <t>ПРИРОДНАЯ СРЕДА И ЖИЗНЕДЕЯТЕЛЬНОСТЬ ЧЕЛОВЕКА</t>
  </si>
  <si>
    <t>Ходаков В.Е.</t>
  </si>
  <si>
    <t>978-5-16-016596-7</t>
  </si>
  <si>
    <t>00.03.01, 20.06.01</t>
  </si>
  <si>
    <t>389200.08.01</t>
  </si>
  <si>
    <t>Природные и техногенные потоки углевод..: Моногр. / Ю.И.Пиковский - М.: НИЦ ИНФРА-М, 2024-207 с. (П)</t>
  </si>
  <si>
    <t>ПРИРОДНЫЕ И ТЕХНОГЕННЫЕ ПОТОКИ УГЛЕВОДОРОДОВ В ОКРУЖАЮЩЕЙ СРЕДЕ</t>
  </si>
  <si>
    <t>978-5-16-011190-2</t>
  </si>
  <si>
    <t>21.03.01, 21.04.01, 21.05.02, 21.05.03, 21.05.04, 21.05.05</t>
  </si>
  <si>
    <t>0193</t>
  </si>
  <si>
    <t>260100.05.01</t>
  </si>
  <si>
    <t>Природоресурсное законод. в усл. модерн...: Моногр. / Г.В.Выпханова - М.:Юр.Норма,НИЦ ИНФРА-М,2025 - 160 с.(О)</t>
  </si>
  <si>
    <t>ПРИРОДОРЕСУРСНОЕ ЗАКОНОДАТЕЛЬСТВО В УСЛОВИЯХ МОДЕРНИЗАЦИИ ЭКОНОМИКИ РОССИИ: СОВРЕМЕННЫЕ ПРОБЛЕМЫ РАЗВИТИЯ</t>
  </si>
  <si>
    <t>Выпханова Г. В., Ершова И. В., Шпаковский Ю. Г., Агафонов В. Б., Жаворонкова Н. Г.</t>
  </si>
  <si>
    <t>978-5-91768-457-4</t>
  </si>
  <si>
    <t>05.03.06, 13.03.01, 13.04.01</t>
  </si>
  <si>
    <t>694246.06.01</t>
  </si>
  <si>
    <t>Причинность в криминологии...: Моногр. / В.Н.Кудрявцев - М.:Юр.Норма,НИЦ ИНФРА-М,2024 - 176 с.(П)</t>
  </si>
  <si>
    <t>ПРИЧИННОСТЬ В КРИМИНОЛОГИИ (О СТРУКТУРЕ ИНДИВИДУАЛЬНОГО ПРЕСТУПНОГО ПОВЕДЕНИЯ)</t>
  </si>
  <si>
    <t>978-5-91768-976-0</t>
  </si>
  <si>
    <t>40.03.01, 40.05.02, 40.05.03</t>
  </si>
  <si>
    <t>352600.07.01</t>
  </si>
  <si>
    <t>Причинность и объект.сторона преступл.: Моногр. / З.Б.Соктоев-2изд. - М.:Юр.Норма,НИЦ ИНФРА-М,2024 - 272 с(п)</t>
  </si>
  <si>
    <t>ПРИЧИННОСТЬ И ОБЪЕКТИВНАЯ СТОРОНА ПРЕСТУПЛЕНИЯ, ИЗД.2</t>
  </si>
  <si>
    <t>Соктоев З.Б.</t>
  </si>
  <si>
    <t>978-5-00156-364-8</t>
  </si>
  <si>
    <t>352600.06.01</t>
  </si>
  <si>
    <t>Причинность и объект.сторона преступления: Моногр. / З.Б.Соктоев - М.:Юр.Норма,НИЦ ИНФРА-М,2023 - 256 с(О)</t>
  </si>
  <si>
    <t>ПРИЧИННОСТЬ И ОБЪЕКТИВНАЯ СТОРОНА ПРЕСТУПЛЕНИЯ</t>
  </si>
  <si>
    <t>978-5-91768-606-6</t>
  </si>
  <si>
    <t>642075.08.01</t>
  </si>
  <si>
    <t>Причины правонарушений: Моногр. / В.Н.Кудрявцев - М.:Юр.Норма, НИЦ ИНФРА-М,2025 - 288 с.(П)</t>
  </si>
  <si>
    <t>ПРИЧИНЫ ПРАВОНАРУШЕНИЙ</t>
  </si>
  <si>
    <t>978-5-91768-775-9</t>
  </si>
  <si>
    <t>152070.10.01</t>
  </si>
  <si>
    <t>Причины преступности в России... / В.Е.Эминов - М.:Юр.Норма, ИНФРА-М Изд. Дом,2025. - 128 с.(о)</t>
  </si>
  <si>
    <t>ПРИЧИНЫ ПРЕСТУПНОСТИ В РОССИИ</t>
  </si>
  <si>
    <t>Эминов В. Е.</t>
  </si>
  <si>
    <t>978-5-91768-176-4</t>
  </si>
  <si>
    <t>737831.08.01</t>
  </si>
  <si>
    <t>Проактивная б-ка в информац.-образоват. среде универ.: Моногр. / Р.А.Барышев - М.:НИЦ ИНФРА-М,2026 - 261 с.(о)</t>
  </si>
  <si>
    <t>ПРОАКТИВНАЯ БИБЛИОТЕКА В ИНФОРМАЦИОННО-ОБРАЗОВАТЕЛЬНОЙ СРЕДЕ УНИВЕРСИТЕТА</t>
  </si>
  <si>
    <t>Барышев Р.А.</t>
  </si>
  <si>
    <t>978-5-16-017585-0</t>
  </si>
  <si>
    <t>51.04.06, 51.06.01</t>
  </si>
  <si>
    <t>703671.06.01</t>
  </si>
  <si>
    <t>Пробелы в праве и пути их устранения: Моногр. / В.В.Лазарев - М.:Юр.Норма, НИЦ ИНФРА-М,2025 - 184 с.(П)</t>
  </si>
  <si>
    <t>ПРОБЕЛЫ В ПРАВЕ И ПУТИ ИХ УСТРАНЕНИЯ</t>
  </si>
  <si>
    <t>978-5-91768-560-1</t>
  </si>
  <si>
    <t>805483.01.01</t>
  </si>
  <si>
    <t>Проблема аддиктивного поведения в юриспруденции: Моногр. / А.В.Мякушкин-М.:НИЦ ИНФРА-М,2023.-204 с.(о)</t>
  </si>
  <si>
    <t>ПРОБЛЕМА АДДИКТИВНОГО ПОВЕДЕНИЯ В ЮРИСПРУДЕНЦИИ: ТЕОРЕТИКО-ПРАВОВОЕ ИССЛЕДОВАНИЕ</t>
  </si>
  <si>
    <t>Мякушкин А.В.</t>
  </si>
  <si>
    <t>978-5-16-018701-3</t>
  </si>
  <si>
    <t>37.05.02, 37.06.01, 40.04.01, 40.05.02, 40.05.03, 40.06.01</t>
  </si>
  <si>
    <t>363800.05.01</t>
  </si>
  <si>
    <t>Проблема безбилетника: модель процесса и ...: Моногр. / Е.Г.Беккер. - М.:Вуз.уч, НИЦ ИНФРА-М,2025 - 157 с.(о)</t>
  </si>
  <si>
    <t>ПРОБЛЕМА БЕЗБИЛЕТНИКА: МОДЕЛЬ ПРОЦЕССА И РЕЦЕПТЫ ПОДАВЛЕНИЯ</t>
  </si>
  <si>
    <t>Беккер Е.Г., Денежкина И.Е., Набатова Д.С. и др.</t>
  </si>
  <si>
    <t>978-5-9558-0439-2</t>
  </si>
  <si>
    <t>181450.05.01</t>
  </si>
  <si>
    <t>Проблема духовного в запад. и восточ. культуре...: Моногр. / С.А.Нижников - М.:НИЦ ИНФРА-М,2026 - 168 с.(о)</t>
  </si>
  <si>
    <t>ПРОБЛЕМА ДУХОВНОГО В ЗАПАДНОЙ И ВОСТОЧНОЙ КУЛЬТУРЕ И ФИЛОСОФИИ</t>
  </si>
  <si>
    <t>978-5-16-005502-2</t>
  </si>
  <si>
    <t>376900.04.01</t>
  </si>
  <si>
    <t>Проблема начала в правопонимании: Моногр./Е.З.Бекбаев-М.:НИЦ ИНФРА-М,2023.-94 с.(О)</t>
  </si>
  <si>
    <t>ПРОБЛЕМА НАЧАЛА В ПРАВОПОНИМАНИИ</t>
  </si>
  <si>
    <t>Бекбаев Е.З.</t>
  </si>
  <si>
    <t>978-5-16-011107-0</t>
  </si>
  <si>
    <t>817795.01.01</t>
  </si>
  <si>
    <t>Проблема сознания: Моногр. / В.Н.Рубцов-М.:НИЦ ИНФРА-М,2023.-191 с.(п)</t>
  </si>
  <si>
    <t>ПРОБЛЕМА СОЗНАНИЯ</t>
  </si>
  <si>
    <t>Рубцов В.Н.</t>
  </si>
  <si>
    <t>Переплет 7БЦ+каптал</t>
  </si>
  <si>
    <t>978-5-16-019391-5</t>
  </si>
  <si>
    <t>706847.02.01</t>
  </si>
  <si>
    <t>Проблема становления романтич. историзма и...: Монография / Г.Х.Казаков - М. : ИНФРА-М, 2023.-198 с.(О)</t>
  </si>
  <si>
    <t>ПРОБЛЕМА СТАНОВЛЕНИЯ РОМАНТИЧЕСКОГО ИСТОРИЗМА И РЕАБИЛИТАЦИИ СРЕДНЕВЕКОВОЙ КУЛЬТУРЫ В ТВОРЧЕСКОМ НАСЛЕДИИ Ф.Р. ДЕ ШАТОБРИАНА</t>
  </si>
  <si>
    <t>Казакова Г.Х.</t>
  </si>
  <si>
    <t>978-5-16-015635-4</t>
  </si>
  <si>
    <t>780689.01.01</t>
  </si>
  <si>
    <t>Проблема формир. ответств. в развитии чел. капитала / В.Г.Пичугин-М.:НИЦ ИНФРА-М,2022.-170 с.(О)</t>
  </si>
  <si>
    <t>ПРОБЛЕМА ФОРМИРОВАНИЯ ОТВЕТСТВЕННОСТИ В РАЗВИТИИ ЧЕЛОВЕЧЕСКОГО КАПИТАЛА</t>
  </si>
  <si>
    <t>Пичугин В.Г.</t>
  </si>
  <si>
    <t>978-5-16-017768-7</t>
  </si>
  <si>
    <t>37.03.01, 38.03.03, 38.04.03, 39.03.01, 39.04.01</t>
  </si>
  <si>
    <t>632593.07.01</t>
  </si>
  <si>
    <t>Проблемы вещного права : Монография / Л.В.Щенникова - М.:Юр.Норма, НИЦ ИНФРА-М,2024.-208 с.(П)</t>
  </si>
  <si>
    <t>ПРОБЛЕМЫ ВЕЩНОГО ПРАВА</t>
  </si>
  <si>
    <t>Щенникова Л.В.</t>
  </si>
  <si>
    <t>978-5-00156-014-2</t>
  </si>
  <si>
    <t>775336.01.01</t>
  </si>
  <si>
    <t>Проблемы взаимодействия юр. ответств...: Моногр. / Д.А.Липинский - М.:ИЦ РИОР, НИЦ ИНФРА-М,2022 - 392 с.(П)</t>
  </si>
  <si>
    <t>ПРОБЛЕМЫ ВЗАИМОДЕЙСТВИЯ ЮРИДИЧЕСКОЙ ОТВЕТСТВЕННОСТИ И МЕХАНИЗМА ОБЕСПЕЧЕНИЯ НАЦИОНАЛЬНОЙ БЕЗОПАСНОСТИ</t>
  </si>
  <si>
    <t>Липинский Д.А., Макарейко Н.В., Фомин А.А. и др.</t>
  </si>
  <si>
    <t>978-5-369-01904-7</t>
  </si>
  <si>
    <t>40.05.01, 41.03.01, 41.04.05</t>
  </si>
  <si>
    <t>854008.01.01</t>
  </si>
  <si>
    <t>Проблемы внедр. проектно-ориентир. обуч. в пед. образование: Моногр. / В.С.Хамидулин - М.:НИЦ ИНФРА-М,2026. - 171 с.(о)</t>
  </si>
  <si>
    <t>ПРОБЛЕМЫ ВНЕДРЕНИЯ ПРОЕКТНО-ОРИЕНТИРОВАННОГО ОБУЧЕНИЯ В ПЕДАГОГИЧЕСКОЕ ОБРАЗОВАНИЕ</t>
  </si>
  <si>
    <t>Хамидулин В.С.</t>
  </si>
  <si>
    <t>978-5-16-020942-5</t>
  </si>
  <si>
    <t>749702.06.01</t>
  </si>
  <si>
    <t>Проблемы гос. упр. с позиций теории систем: Моногр. / Б.В.Россинский - М.:Юр.Норма, НИЦ ИНФРА-М,2025 - 264 с.(П)</t>
  </si>
  <si>
    <t>ПРОБЛЕМЫ ГОСУДАРСТВЕННОГО УПРАВЛЕНИЯ С ПОЗИЦИЙ ТЕОРИИ СИСТЕМ</t>
  </si>
  <si>
    <t>978-5-00156-143-9</t>
  </si>
  <si>
    <t>633167.08.01</t>
  </si>
  <si>
    <t>Проблемы детско-родительских отношен.: Моногр. / Е.М.Ижванова - М.:НИЦ ИНФРА-М,2025 - 89 с.(Науч.мысль)(о)</t>
  </si>
  <si>
    <t>ПРОБЛЕМЫ ДЕТСКО-РОДИТЕЛЬСКИХ ОТНОШЕНИЙ</t>
  </si>
  <si>
    <t>Ижванова Е.М.</t>
  </si>
  <si>
    <t>978-5-16-012045-4</t>
  </si>
  <si>
    <t>37.03.01, 44.03.05</t>
  </si>
  <si>
    <t>180150.07.01</t>
  </si>
  <si>
    <t>Проблемы и тенден.разв.малоэтаж.жилищ..: Моногр. / С.А.Баронин - М.:НИЦ ИНФРА-М,2026 - 239 с.(Науч.мысль)(о)</t>
  </si>
  <si>
    <t>ПРОБЛЕМЫ И ТЕНДЕНЦИИ РАЗВИТИЯ МАЛОЭТАЖНОГО ЖИЛИЩНОГО СТРОИТЕЛЬСТВА РОССИИ</t>
  </si>
  <si>
    <t>Баронин С.А., Николаева Е.Л., Черных А.Г. и др.</t>
  </si>
  <si>
    <t>978-5-16-006265-5</t>
  </si>
  <si>
    <t>645479.07.01</t>
  </si>
  <si>
    <t>Проблемы истории, методолог.и теории юрид..: Моногр. /А.В.Корнев - М.:Юр.Норма,НИЦ ИНФРА-М,2026 - 528 с.(П)</t>
  </si>
  <si>
    <t>ПРОБЛЕМЫ ИСТОРИИ, МЕТОДОЛОГИИ И ТЕОРИИ ЮРИДИЧЕСКОЙ НАУКИ</t>
  </si>
  <si>
    <t>Корнев А.В., Веденеев Ю.А., Завьялов Ю.С. и др.</t>
  </si>
  <si>
    <t>978-5-91768-789-6</t>
  </si>
  <si>
    <t>803836.01.01</t>
  </si>
  <si>
    <t>Проблемы квалификации нефин. активов в орг. бюджетной сферы: Моногр. / Т.И.Кришталева-М.:НИЦ ИНФРА-М,2024.-228 с.(о)</t>
  </si>
  <si>
    <t>ПРОБЛЕМЫ КВАЛИФИКАЦИИ НЕФИНАНСОВЫХ АКТИВОВ В ОРГАНИЗАЦИЯХ БЮДЖЕТНОЙ СФЕРЫ</t>
  </si>
  <si>
    <t>Кришталева Т.И., Качкова О.Е.</t>
  </si>
  <si>
    <t>978-5-16-018575-0</t>
  </si>
  <si>
    <t>38.04.09, 38.06.01</t>
  </si>
  <si>
    <t>380900.05.01</t>
  </si>
  <si>
    <t>Проблемы обеспеч.и защиты публ.интересов: Cб.науч.ст./Е.С.Смагина-НИЦ ИНФРА-М,2024-83с(Науч.мысль)(о)</t>
  </si>
  <si>
    <t>ПРОБЛЕМЫ ОБЕСПЕЧЕНИЯ И ЗАЩИТЫ ПУБЛИЧНЫХ ИНТЕРЕСОВ</t>
  </si>
  <si>
    <t>Е.С.Смагина, С.Н.Еремина, В.С.Бердычевский и др.</t>
  </si>
  <si>
    <t>978-5-16-011143-8</t>
  </si>
  <si>
    <t>379100.07.01</t>
  </si>
  <si>
    <t>Проблемы правовой неопределенности: курс лекций / Н.А.Власенко-М.:НИЦ ИНФРА-М,2023.-176 с.(ИЗиСП)(П)</t>
  </si>
  <si>
    <t>ПРОБЛЕМЫ ПРАВОВОЙ НЕОПРЕДЕЛЕННОСТИ</t>
  </si>
  <si>
    <t>978-5-16-011136-0</t>
  </si>
  <si>
    <t>682704.06.01</t>
  </si>
  <si>
    <t>Проблемы природопользования в Арктике..: Моногр. / Под ред. Кочурова Б.И. - М.:НИЦ ИНФРА-М,2024 - 151с(О)</t>
  </si>
  <si>
    <t>ПРОБЛЕМЫ ПРИРОДОПОЛЬЗОВАНИЯ В АРКТИКЕ: АНАЛИЗ И РЕШЕНИЕ.</t>
  </si>
  <si>
    <t>Кочемасов Ю.В., Кочемасова Е.Ю., Седова Н.Б. и др.</t>
  </si>
  <si>
    <t>978-5-16-014272-2</t>
  </si>
  <si>
    <t>Некоммерческое партнерство «Технологическая платформа «Технологии экологического развития»</t>
  </si>
  <si>
    <t>826041.01.01</t>
  </si>
  <si>
    <t>Проблемы развития экономики совр. России: Моногр. / Л.Е.Басовский - М.:НИЦ ИНФРА-М,2025. - 181 с.(о)</t>
  </si>
  <si>
    <t>ПРОБЛЕМЫ РАЗВИТИЯ ЭКОНОМИКИ СОВРЕМЕННОЙ РОССИИ</t>
  </si>
  <si>
    <t>978-5-16-019965-8</t>
  </si>
  <si>
    <t>814145.01.01</t>
  </si>
  <si>
    <t>Проблемы реализации принципов гражданского судопроизвод.../В.М.Жуйков-М.:Юр.НОРМА, НИЦ ИНФРА-М,2024-416с(п)</t>
  </si>
  <si>
    <t>ПРОБЛЕМЫ РЕАЛИЗАЦИИ ПРИНЦИПОВ ГРАЖДАНСКОГО СУДОПРОИЗВОДСТВА В ПРАВОПРИМЕНИТЕЛЬНОЙ ДЕЯТЕЛЬНОСТИ</t>
  </si>
  <si>
    <t>Жуйков В.М., Алексеева Н.В., Багыллы С.Т. и др.</t>
  </si>
  <si>
    <t>978-5-00156-333-4</t>
  </si>
  <si>
    <t>40.03.01, 40.04.01, 40.05.01, 40.05.03, 40.05.04</t>
  </si>
  <si>
    <t>666942.08.01</t>
  </si>
  <si>
    <t>Проблемы рос. государственности. Опыт сис..исслед. / В.А.Черепанов - М.:Юр.Норма,НИЦ ИНФРА-М,2026 - 336 с.(п)</t>
  </si>
  <si>
    <t>ПРОБЛЕМЫ РОССИЙСКОЙ ГОСУДАРСТВЕННОСТИ. ОПЫТ СИСТЕМНОГО ИССЛЕДОВАНИЯ</t>
  </si>
  <si>
    <t>Черепанов В.А.</t>
  </si>
  <si>
    <t>978-5-91768-878-7</t>
  </si>
  <si>
    <t>697231.06.01</t>
  </si>
  <si>
    <t>Проблемы совершенств. финанс. методов и моделей..: Моногр. / А.С.Макаров - М.:НИЦ ИНФРА-М,2025 - 175 с.(О)</t>
  </si>
  <si>
    <t>ПРОБЛЕМЫ СОВЕРШЕНСТВОВАНИЯ ФИНАНСОВЫХ МЕТОДОВ И МОДЕЛЕЙ ОБЕСПЕЧЕНИЯ УСТОЙЧИВОГО РАЗВИТИЯ КОМПАНИИ</t>
  </si>
  <si>
    <t>Макаров А.С., Рябова Е.В., Хвостова И.Е.</t>
  </si>
  <si>
    <t>978-5-16-014625-6</t>
  </si>
  <si>
    <t>744592.03.01</t>
  </si>
  <si>
    <t>Проблемы стандартизации при реализации положений технич. регламентов РФ / В.О.Икрянников-М.:НИЦ ИНФРА-М,2022.-202 с.(П)</t>
  </si>
  <si>
    <t>ПРОБЛЕМЫ СТАНДАРТИЗАЦИИ ПРИ РЕАЛИЗАЦИИ ПОЛОЖЕНИЙ ТЕХНИЧЕСКИХ РЕГЛАМЕНТОВ РОССИЙСКОЙ ФЕДЕРАЦИИ</t>
  </si>
  <si>
    <t>Икрянников В.О., Барыкин А.Н.</t>
  </si>
  <si>
    <t>978-5-16-017019-0</t>
  </si>
  <si>
    <t>745033.02.01</t>
  </si>
  <si>
    <t>Проблемы территориал. орг. нац. экономики и финансов: Моногр. / В.М.Пищулов-М.:НИЦ ИНФРА-М,2025.-269 с.(О)</t>
  </si>
  <si>
    <t>ПРОБЛЕМЫ ТЕРРИТОРИАЛЬНОЙ ОРГАНИЗАЦИИ НАЦИОНАЛЬНОЙ ЭКОНОМИКИ И ФИНАНСОВ</t>
  </si>
  <si>
    <t>978-5-16-016563-9</t>
  </si>
  <si>
    <t>483750.04.01</t>
  </si>
  <si>
    <t>Проблемы функционир. автотр. бизнеса..: Моног. / А.Д.Хмельницкий-М.:ИЦ РИОР,НИЦ ИНФРА-М,2024-244с(о)</t>
  </si>
  <si>
    <t>ПРОБЛЕМЫ ФУНКЦИОНИРОВАНИЯ АВТОТРАНСПОРТНОГО БИЗНЕСА: ЭВОЛЮЦИЯ ПРЕОБРАЗОВАНИЙ И СТРАТЕГИЧЕСКИЕ ОРИЕНТИРЫ РАЗВИТИЯ</t>
  </si>
  <si>
    <t>Хмельницкий А. Д.</t>
  </si>
  <si>
    <t>978-5-369-01405-9</t>
  </si>
  <si>
    <t>23.03.01, 23.04.01, 38.03.02, 38.04.02, 44.03.01</t>
  </si>
  <si>
    <t>766877.01.01</t>
  </si>
  <si>
    <t>Проверка судебных решений по уголовным делам: Моногр. / А.М.Панокин-М.:Юр.Норма, НИЦ ИНФРА-М,2022.-168 с.(П)</t>
  </si>
  <si>
    <t>ПРОВЕРКА СУДЕБНЫХ РЕШЕНИЙ ПО УГОЛОВНЫМ ДЕЛАМ: ИСТОРИЯ И СОВРЕМЕННОСТЬ</t>
  </si>
  <si>
    <t>Панокин А.М.</t>
  </si>
  <si>
    <t>978-5-00156-202-3</t>
  </si>
  <si>
    <t>806323.01.01</t>
  </si>
  <si>
    <t>Проверочные производства в уголов. процессе Чехии: Моногр. / А.Г.Тузов-М.:НИЦ ИНФРА-М,2024.-192 с.(п)</t>
  </si>
  <si>
    <t>ПРОВЕРОЧНЫЕ ПРОИЗВОДСТВА В УГОЛОВНОМ ПРОЦЕССЕ ЧЕХИИ</t>
  </si>
  <si>
    <t>Тузов А.Г., Стойко Н.Г.</t>
  </si>
  <si>
    <t>978-5-16-018779-2</t>
  </si>
  <si>
    <t>472250.03.01</t>
  </si>
  <si>
    <t>Проветривание промышл. площадок: Аэро..: Моногр./В.Т.Самсонов-НИЦ ИНФРА-М,2019-171(Науч.мысль)(О)</t>
  </si>
  <si>
    <t>ПРОВЕТРИВАНИЕ ПРОМЫШЛЕННЫХ ПЛОЩАДОК: АЭРОДИНАМИЧЕСКИЕ РАСЧЁТЫ ПРИ ПРОЕКТИРОВАНИИ ВЕНТИЛЯЦИОННЫХ ВЫБРОСОВ</t>
  </si>
  <si>
    <t>978-5-16-010092-0</t>
  </si>
  <si>
    <t>765988.04.01</t>
  </si>
  <si>
    <t>Прогноз послеоперационного течения мочекаменной болезни / С.С.Дунаевская.-М.:НИЦ ИНФРА-М,2023.-199 с.(О)</t>
  </si>
  <si>
    <t>ПРОГНОЗ ПОСЛЕОПЕРАЦИОННОГО ТЕЧЕНИЯ МОЧЕКАМЕННОЙ БОЛЕЗНИ</t>
  </si>
  <si>
    <t>Бережной А.Г., Дунаевская С.С., Винник Ю.С.</t>
  </si>
  <si>
    <t>978-5-16-017604-8</t>
  </si>
  <si>
    <t>31.05.01, 31.05.02, 31.06.01, 31.07.01, 31.08.68, 32.05.01</t>
  </si>
  <si>
    <t>679964.02.01</t>
  </si>
  <si>
    <t>Прогнозирование долговеч. конструкц. бетона...: Моногр. / Леонович С.Н.-М.:НИЦ ИНФРА-М,2024.-211 с.(о)</t>
  </si>
  <si>
    <t>ПРОГНОЗИРОВАНИЕ ДОЛГОВЕЧНОСТИ КОНСТРУКЦИОННОГО БЕТОНА ПРИ АГРЕССИВНЫХ ВОЗДЕЙСТВИЯХ</t>
  </si>
  <si>
    <t>Леонович С.Н., Доркин В.В., Чернякевич О.Ю. и др.</t>
  </si>
  <si>
    <t>978-5-16-014361-3</t>
  </si>
  <si>
    <t>371900.07.01</t>
  </si>
  <si>
    <t>Прогнозирование фин.кризисов..: Моногр. / И.Я.Лукасевич - М.:Вуз.уч.,НИЦ ИНФРА-М,2023 - 126с.(Науч.книга)(О)</t>
  </si>
  <si>
    <t>ПРОГНОЗИРОВАНИЕ ФИНАНСОВЫХ КРИЗИСОВ:МЕТОДЫ,МОДЕЛИ,ИНДИКАТОРЫ</t>
  </si>
  <si>
    <t>Лукасевич И.Я., Федорова Е.А.</t>
  </si>
  <si>
    <t>978-5-9558-0443-9</t>
  </si>
  <si>
    <t>38.03.01, 38.03.04, 38.04.01, 38.04.04, 38.04.08, 38.04.09, 38.06.01, 38.07.02</t>
  </si>
  <si>
    <t>432550.04.01</t>
  </si>
  <si>
    <t>Программные средства глобал. оптим.систем..:Моногр./ А.В.Затонский-М.:ИЦ РИОР,НИЦ ИНФРА-М,2024-136с.</t>
  </si>
  <si>
    <t>ПРОГРАММНЫЕ СРЕДСТВА ГЛОБАЛЬНОЙ ОПТИМИЗАЦИИ СИСТЕМ АВТОМАТИЧЕСКОГО РЕГУЛИРОВАНИЯ</t>
  </si>
  <si>
    <t>Затонский А. В.</t>
  </si>
  <si>
    <t>978-5-369-01196-6</t>
  </si>
  <si>
    <t>01.03.02, 01.04.02, 09.03.01, 09.03.02, 09.03.03, 09.03.04, 09.04.01, 09.04.02, 09.04.03, 09.04.04, 09.05.01, 12.03.01, 15.03.04, 15.04.04</t>
  </si>
  <si>
    <t>142650.08.01</t>
  </si>
  <si>
    <t>Прогресс и производительность труда: Моногр. / Э.Н.Кузьбожев-М.:НИЦ ИНФРА-М,2024.-174с(Науч.мысль)(о)</t>
  </si>
  <si>
    <t>ПРОГРЕСС И ПРОИЗВОДИТЕЛЬНОСТЬ ТРУДА</t>
  </si>
  <si>
    <t>Кузьбожев Э.Н., Рябцева И.Ф.</t>
  </si>
  <si>
    <t>978-5-16-004632-7</t>
  </si>
  <si>
    <t>38.03.01, 38.03.02, 38.03.03, 38.03.04, 38.04.01, 38.04.02, 38.04.03, 38.04.04, 38.06.01</t>
  </si>
  <si>
    <t>839792.01.01</t>
  </si>
  <si>
    <t>Продвижение гостинич. предпр. в новых экономич..: Моногр. / И.С.Ключевская - М.:НИЦ ИНФРА-М,2025. - 219 с.(о)</t>
  </si>
  <si>
    <t>ПРОДВИЖЕНИЕ ГОСТИНИЧНОГО ПРЕДПРИЯТИЯ В НОВЫХ ЭКОНОМИЧЕСКИХ УСЛОВИЯХ РАЗВИТИЯ РЫНКА: ТРЕНДЫ И ОСОБЕННОСТИ</t>
  </si>
  <si>
    <t>978-5-16-020331-7</t>
  </si>
  <si>
    <t>43.04.03</t>
  </si>
  <si>
    <t>649715.08.01</t>
  </si>
  <si>
    <t>Проектирование системы распределения в логистике: Моногр. / В.В.Дыбская-М.:НИЦ ИНФРА-М,2024-235с(П)</t>
  </si>
  <si>
    <t>ПРОЕКТИРОВАНИЕ СИСТЕМЫ РАСПРЕДЕЛЕНИЯ В ЛОГИСТИКЕ</t>
  </si>
  <si>
    <t>Дыбская В.В.</t>
  </si>
  <si>
    <t>978-5-16-012614-2</t>
  </si>
  <si>
    <t>23.03.01, 29.04.02, 38.03.01, 42.03.03</t>
  </si>
  <si>
    <t>407550.06.01</t>
  </si>
  <si>
    <t>Проектирование студ.индивид.образов.: Моногр./С.И.Осипова-М.:НИЦ ИНФРА-М,СФУ,2024-140с(Науч.мысль)(о)</t>
  </si>
  <si>
    <t>ПРОЕКТИРОВАНИЕ СТУДЕНТОМ ИНДИВИДУАЛЬНОЙ ОБРАЗОВАТЕЛЬНОЙ ТРАЕКТОРИИ В УСЛОВИЯХ ИНФОРМАТИЗАЦИИ ОБРАЗОВАНИЯ</t>
  </si>
  <si>
    <t>Осипова С. И., Соловьева Т. В.</t>
  </si>
  <si>
    <t>978-5-16-006375-1</t>
  </si>
  <si>
    <t>701113.06.01</t>
  </si>
  <si>
    <t>Проектирование туристских кластеров: Моногр. / Д.А.Кощеев - М.:НИЦ ИНФРА-М,2024 - 326 с.(Науч.мысль)(О)</t>
  </si>
  <si>
    <t>ПРОЕКТИРОВАНИЕ ТУРИСТСКИХ КЛАСТЕРОВ: СИСТЕМНО-АГЛОМЕРАЦИОННЫЙ ПОДХОД</t>
  </si>
  <si>
    <t>978-5-16-015195-3</t>
  </si>
  <si>
    <t>38.06.01, 43.04.01, 43.04.02, 43.04.03</t>
  </si>
  <si>
    <t>768722.01.01</t>
  </si>
  <si>
    <t>Проектное обучение спец. по работе с молодежью: Моногр. / И.С.Крутько.-М.:НИЦ ИНФРА-М,2022.-246 с.(О)</t>
  </si>
  <si>
    <t>ПРОЕКТНОЕ ОБУЧЕНИЕ СПЕЦИАЛИСТОВ ПО РАБОТЕ С МОЛОДЕЖЬЮ</t>
  </si>
  <si>
    <t>Бедулева М.А., Боронина Л.Н., Зверева Е.В. и др.</t>
  </si>
  <si>
    <t>978-5-16-017407-5</t>
  </si>
  <si>
    <t>39.00.00, 39.03.03, 39.04.03, 39.06.01, 39.07.01</t>
  </si>
  <si>
    <t>Уральский федеральный университет им. первого Президента России Б.Н. Ельцина</t>
  </si>
  <si>
    <t>Университетская книга 2024-2024, Победитель</t>
  </si>
  <si>
    <t>646046.06.01</t>
  </si>
  <si>
    <t>Проектно-организаторская функция воспит..: Моногр. / В.П.Сергеева - 2 изд. - М.:НИЦ ИНФРА-М,2026 - 128 с.(О)</t>
  </si>
  <si>
    <t>ПРОЕКТНО-ОРГАНИЗАТОРСКАЯ ФУНКЦИЯ ВОСПИТАТЕЛЬНОЙ ДЕЯТЕЛЬНОСТИ УЧИТЕЛЯ (ТЕОРИЯ  И МЕТОДИКА), ИЗД.2</t>
  </si>
  <si>
    <t>Сергеева В.П.</t>
  </si>
  <si>
    <t>978-5-16-012446-9</t>
  </si>
  <si>
    <t>44.03.01, 44.03.02, 44.03.04, 44.03.05, 44.04.01, 44.04.02</t>
  </si>
  <si>
    <t>632668.04.01</t>
  </si>
  <si>
    <t>Проектный подход к реализации концепции..: Моногр. / В.М.Аньшин.-М.:НИЦ ИНФРА-М,2024-267с.(П)</t>
  </si>
  <si>
    <t>ПРОЕКТНЫЙ ПОДХОД К РЕАЛИЗАЦИИ КОНЦЕПЦИИ УСТОЙЧИВОГО РАЗВИТИЯ В КОМПАНИИ</t>
  </si>
  <si>
    <t>Аньшин В.М., Глазовская Е.С., Перцева Е.Ю.</t>
  </si>
  <si>
    <t>978-5-16-012011-9</t>
  </si>
  <si>
    <t>38.03.02</t>
  </si>
  <si>
    <t>401700.09.01</t>
  </si>
  <si>
    <t>Производительность труда и техн.полит.пред.:Моногр./И.Ф.Рябцева-НИЦ ИНФРА-М,2024-199с(Науч.мысль)(о)</t>
  </si>
  <si>
    <t>ПРОИЗВОДИТЕЛЬНОСТЬ ТРУДА И ТЕХНИЧЕСКАЯ ПОЛИТИКА ПРЕДПРИЯТИЯ</t>
  </si>
  <si>
    <t>Рябцева И. Ф., Кузьбожев Э. Н.</t>
  </si>
  <si>
    <t>978-5-16-005685-2</t>
  </si>
  <si>
    <t>38.03.01, 38.03.02, 38.04.01, 38.04.02, 44.03.01</t>
  </si>
  <si>
    <t>258200.05.01</t>
  </si>
  <si>
    <t>Производственный потенциал предпр.машиностр.: Моногр. / О.В.Корсунцева-М.:НИЦ ИНФРА-М,2024-211с(о)</t>
  </si>
  <si>
    <t>ПРОИЗВОДСТВЕННЫЙ ПОТЕНЦИАЛ ПРЕДПРИЯТИЙ МАШИНОСТРОЕНИЯ: ОЦЕНКА, ДИНАМИКА, РЕЗЕРВЫ ПОВЫШЕНИЯ</t>
  </si>
  <si>
    <t>Корсунцева О. В.</t>
  </si>
  <si>
    <t>978-5-16-009482-3</t>
  </si>
  <si>
    <t>807275.01.01</t>
  </si>
  <si>
    <t>Производство по делам об админ. правонаруш. в судах...: Моногр. / С.В.Щепалов-М.:Юр. НОРМА,2023.-220 с.(п)</t>
  </si>
  <si>
    <t>ПРОИЗВОДСТВО ПО ДЕЛАМ ОБ АДМИНИСТРАТИВНЫХ ПРАВОНАРУШЕНИЯХ В СУДАХ ОБЩЕЙ ЮРИСДИКЦИИ</t>
  </si>
  <si>
    <t>978-5-00156-313-6</t>
  </si>
  <si>
    <t>00.05.08</t>
  </si>
  <si>
    <t>641998.02.01</t>
  </si>
  <si>
    <t>Проконкурентный порядок как инст.эконом.знаний: Моногр./ Е.М.Рождественская-М.:НИЦ ИНФРА-М,2020-100с</t>
  </si>
  <si>
    <t>ПРОКОНКУРЕНТНЫЙ ПОРЯДОК КАК ИНСТИТУТ ЭКОНОМИКИ ЗНАНИЙ</t>
  </si>
  <si>
    <t>Рождественская Е.М.</t>
  </si>
  <si>
    <t>978-5-16-012756-9</t>
  </si>
  <si>
    <t>38.03.01, 38.04.01, 38.04.02, 44.03.01</t>
  </si>
  <si>
    <t>639386.04.01</t>
  </si>
  <si>
    <t>Промышленная полит. и антикриз. упр. предпр.: Моногр. / А.С.Лифшиц  - М.:ИЦ РИОР, НИЦ ИНФРА-М,2026. - 246 с.(о)</t>
  </si>
  <si>
    <t>ПРОМЫШЛЕННАЯ ПОЛИТИКА И АНТИКРИЗИСНОЕ УПРАВЛЕНИЕ ПРЕДПРИЯТИЯМИ</t>
  </si>
  <si>
    <t>Лифшиц А.С., Ибрагимова Р.С., Новиков В.А. и др.</t>
  </si>
  <si>
    <t>978-5-369-01597-1</t>
  </si>
  <si>
    <t>719785.04.01</t>
  </si>
  <si>
    <t>Промышленное строительство...: Монография / А.Д.Жуков -М.:НИЦ ИНФРА-М,2024.-395 с.(П)</t>
  </si>
  <si>
    <t>ПРОМЫШЛЕННОЕ СТРОИТЕЛЬСТВО. ЗДАНИЯ И СООРУЖЕНИЯ. ЗАЩИТА ОТ КОРРОЗИИ И ЭКОЛОГИЯ</t>
  </si>
  <si>
    <t>Жуков А.Д., Асташкин В.М., Жолудов В.С. и др.</t>
  </si>
  <si>
    <t>978-5-16-015879-2</t>
  </si>
  <si>
    <t>667703.02.01</t>
  </si>
  <si>
    <t>Промышленные кластеры и их роль в разв.промыш.полит.региона: Моногр. / И.С.Ферова - М.:НИЦ ИНФРА-М, СФУ,2025 - 247 с.(п)</t>
  </si>
  <si>
    <t>ПРОМЫШЛЕННЫЕ КЛАСТЕРЫ И ИХ РОЛЬ В РАЗВИТИИ ПРОМЫШЛЕННОЙ ПОЛИТИКИ РЕГИОНА</t>
  </si>
  <si>
    <t>Ферова И.С., Кожинова Т.В., Шорохов Р.Г. и др.</t>
  </si>
  <si>
    <t>978-5-16-020809-1</t>
  </si>
  <si>
    <t>00.03.13, 27.04.06, 38.03.02, 38.04.02</t>
  </si>
  <si>
    <t>362200.04.01</t>
  </si>
  <si>
    <t>Прономинализация как тип ступенчатой транспозиции...: Моногр. /В.В.Шигуров.-2 изд.-М.:НИЦ ИНФРА-М, 2024-160с</t>
  </si>
  <si>
    <t>ПРОНОМИНАЛИЗАЦИЯ КАК ТИП СТУПЕНЧАТОЙ ТРАНСПОЗИЦИИ ЯЗЫКОВЫХ ЕДИНИЦ В СИСТЕМЕ ЧАСТЕЙ РЕЧИ: ТЕОРИЯ ТРАНСПОЗИЦИОННОЙ ГРАММАТИКИ РУССКОГО ЯЗЫКА, ИЗД.2</t>
  </si>
  <si>
    <t>В.В.Шигуров</t>
  </si>
  <si>
    <t>978-5-16-010968-8</t>
  </si>
  <si>
    <t>44.03.05, 45.03.02, 45.03.03, 45.03.04, 45.04.02, 45.04.03, 51.03.01</t>
  </si>
  <si>
    <t>814978.01.01</t>
  </si>
  <si>
    <t>Пространственная экономика...: Моногр. / В.М.Пищулов-М.:НИЦ ИНФРА-М,2024.-206 с.(Науч.мысль)(п)</t>
  </si>
  <si>
    <t>ПРОСТРАНСТВЕННАЯ ЭКОНОМИКА: СТАНОВЛЕНИЕ И РАЗВИТИЕ ИНСТИТУТОВ РЫНКА</t>
  </si>
  <si>
    <t>978-5-16-019322-9</t>
  </si>
  <si>
    <t>825364.01.01</t>
  </si>
  <si>
    <t>Пространственные коды ключ. текстов рус. культ.: Моногр. / В.И.Хайруллин - М.:НИЦ ИНФРА-М,2025. - 197 с.(о)</t>
  </si>
  <si>
    <t>ПРОСТРАНСТВЕННЫЕ КОДЫ КЛЮЧЕВЫХ ТЕКСТОВ РУССКОЙ КУЛЬТУРЫ</t>
  </si>
  <si>
    <t>Хайруллин В.И.</t>
  </si>
  <si>
    <t>978-5-16-019837-8</t>
  </si>
  <si>
    <t>45.04.01, 45.05.01, 45.06.01</t>
  </si>
  <si>
    <t>680302.02.01</t>
  </si>
  <si>
    <t>Протеинурия в клинической практике: Моногр. / Е.С.Крутиков - М.:НИЦ ИНФРА-М,2022 - 139 с.-(Науч.мысль (КрымФУ))(О)</t>
  </si>
  <si>
    <t>ПРОТЕИНУРИЯ В КЛИНИЧЕСКОЙ ПРАКТИКЕ</t>
  </si>
  <si>
    <t>Крутиков Е.С., Кошукова Г.Н., Польская Л.В. и др.</t>
  </si>
  <si>
    <t>978-5-16-017544-7</t>
  </si>
  <si>
    <t>12.03.04, 31.05.01, 31.05.02</t>
  </si>
  <si>
    <t>820097.01.01</t>
  </si>
  <si>
    <t>Противодейст. использов. информац.-коммуникац. техн...: Моногр/Ю.В.Пузырева-М.:НИЦ ИНФРА-М,2024-226 с.(о)</t>
  </si>
  <si>
    <t>ПРОТИВОДЕЙСТВИЕ ИСПОЛЬЗОВАНИЮ ИНФОРМАЦИОННО-КОММУНИКАЦИОННЫХ ТЕХНОЛОГИЙ В ПРЕСТУПНЫХ ЦЕЛЯХ: ПРИОРИТЕТЫ МЕЖДУНАРОДНОГО СОТРУДНИЧЕСТВА РФ</t>
  </si>
  <si>
    <t>Пузырева Ю.В., Бардина Е.Е., Мысина А.И. и др.</t>
  </si>
  <si>
    <t>978-5-16-019636-7</t>
  </si>
  <si>
    <t>769538.06.01</t>
  </si>
  <si>
    <t>Противодействие нацизму:  Моногр. / Ю.С.Жариков - М.:НИЦ ИНФРА-М,2025. - 187 с.(Науч.мысль)(П)</t>
  </si>
  <si>
    <t>ПРОТИВОДЕЙСТВИЕ НАЦИЗМУ: УГОЛОВНО-ПРАВОВОЙ И КРИМИНОЛОГИЧЕСКИЙ АСПЕКТЫ</t>
  </si>
  <si>
    <t>Жариков Ю.С., Цветков Р.Н.</t>
  </si>
  <si>
    <t>978-5-16-017550-8</t>
  </si>
  <si>
    <t>784562.02.01</t>
  </si>
  <si>
    <t>Противодействие незакон. археолог. деят. в РФ... / А.Н.Панфилов-М.:НИЦ ИНФРА-М,2024.-210 с.(о)</t>
  </si>
  <si>
    <t>ПРОТИВОДЕЙСТВИЕ НЕЗАКОННОЙ АРХЕОЛОГИЧЕСКОЙ ДЕЯТЕЛЬНОСТИ В РОССИЙСКОЙ ФЕДЕРАЦИИ: ВОПРОСЫ ПРАВОВОГО РЕГУЛИРОВАНИЯ И ПРАВОПРИМЕНЕНИЯ.</t>
  </si>
  <si>
    <t>Панфилов А.Н.</t>
  </si>
  <si>
    <t>978-5-16-017881-3</t>
  </si>
  <si>
    <t>40.04.01, 40.05.02, 40.05.03, 40.05.04, 40.06.01</t>
  </si>
  <si>
    <t>284000.06.01</t>
  </si>
  <si>
    <t>Протозойные болезни домашних животных: Моногр. / В.В.Белименко-М.:НИЦ ИНФРА-М,2024.-176с(Науч.мысль)(о)</t>
  </si>
  <si>
    <t>ПРОТОЗОЙНЫЕ БОЛЕЗНИ ДОМАШНИХ ЖИВОТНЫХ</t>
  </si>
  <si>
    <t>БелименкоВ.В.</t>
  </si>
  <si>
    <t>978-5-16-018684-9</t>
  </si>
  <si>
    <t>681488.05.01</t>
  </si>
  <si>
    <t>Профессионализм педагога: успешность и карьера: Моногр. / Н.А.Глузман -М.:НИЦ ИНФРА-М,2023-314 с.(О)</t>
  </si>
  <si>
    <t>ПРОФЕССИОНАЛИЗМ ПЕДАГОГА: УСПЕШНОСТЬ И КАРЬЕРА</t>
  </si>
  <si>
    <t>Глузман Н.А., Горбунова Н.В.</t>
  </si>
  <si>
    <t>978-5-16-015830-3</t>
  </si>
  <si>
    <t>37.03.01, 44.03.01, 44.03.03, 44.03.04, 44.03.05, 44.04.02</t>
  </si>
  <si>
    <t>632296.09.01</t>
  </si>
  <si>
    <t>Профессиональная нейросенсорная тугоухость: Моногр. / С.А.Бабанов - М.:Вуз. уч., НИЦ ИНФРА-М,2025. - 98 с.(О)</t>
  </si>
  <si>
    <t>ПРОФЕССИОНАЛЬНАЯ НЕЙРОСЕНСОРНАЯ ТУГОУХОСТЬ</t>
  </si>
  <si>
    <t>Бабанов С.А., Лотков В.С., Вакурова Н.В. и др.</t>
  </si>
  <si>
    <t>978-5-9558-0501-6</t>
  </si>
  <si>
    <t>31.05.01, 32.05.01</t>
  </si>
  <si>
    <t>810094.02.01</t>
  </si>
  <si>
    <t>Профессиональная подготовка сотруд. полиции к межлич. общению... / Т.Г.Мухина - М.:НИЦ ИНФРА-М,2025 - 199 с.(о)</t>
  </si>
  <si>
    <t>ПРОФЕССИОНАЛЬНАЯ ПОДГОТОВКА СОТРУДНИКОВ ПОЛИЦИИ К МЕЖЛИЧНОСТНОМУ ОБЩЕНИЮ В УСЛОВИЯХ МНОГОНАЦИОНАЛЬНОЙ СРЕДЫ</t>
  </si>
  <si>
    <t>Мусина Н.И., Мухина Т.Г., Мухина Т.Г.</t>
  </si>
  <si>
    <t>978-5-16-019469-1</t>
  </si>
  <si>
    <t>Нижегородская академия Министерства внутренних дел Российской Федерации</t>
  </si>
  <si>
    <t>775860.01.01</t>
  </si>
  <si>
    <t>Профессиональная реабилитация лиц с инвалидностью...: Моногр. / Е.М.Старобина-М.:НИЦ ИНФРА-М,2022.-235 с.(О)</t>
  </si>
  <si>
    <t>ПРОФЕССИОНАЛЬНАЯ РЕАБИЛИТАЦИЯ ЛИЦ С ИНВАЛИДНОСТЬЮ:  СОСТОЯНИЕ И НАПРАВЛЕНИЯ РАЗВИТИЯ</t>
  </si>
  <si>
    <t>Старобина Е.М., Рябоконь А.Г., Гордиевская Е.О.</t>
  </si>
  <si>
    <t>978-5-16-017614-7</t>
  </si>
  <si>
    <t>31.05.01, 31.06.01, 31.08.41, 31.08.44, 37.04.01, 39.04.02</t>
  </si>
  <si>
    <t>Федеральный научный центр реабилитации инвалидов им. Г.А. Альбрехта</t>
  </si>
  <si>
    <t>674712.05.01</t>
  </si>
  <si>
    <t>Профессиональная самоидентификация личности: Моногр. / А.Г.Наймушина - М.:НИЦ ИНФРА-М,2024 - 76 с(О)</t>
  </si>
  <si>
    <t>ПРОФЕССИОНАЛЬНАЯ САМОИДЕНТИФИКАЦИЯ ЛИЧНОСТИ</t>
  </si>
  <si>
    <t>Наймушина А.Г., Моложавенко В.Л.</t>
  </si>
  <si>
    <t>978-5-16-013655-4</t>
  </si>
  <si>
    <t>21.03.01, 21.04.01, 21.05.05, 21.05.06, 37.04.01, 37.05.02, 38.04.03, 39.04.01, 44.04.01, 44.04.02, 44.04.04</t>
  </si>
  <si>
    <t>846818.01.01</t>
  </si>
  <si>
    <t>Профессиональное становление учителя-дефектолога: Моногр. / Е.А.Шилова - М.:НИЦ ИНФРА-М,2025. - 184 с.(п)</t>
  </si>
  <si>
    <t>ПРОФЕССИОНАЛЬНОЕ СТАНОВЛЕНИЕ УЧИТЕЛЯ-ДЕФЕКТОЛОГА</t>
  </si>
  <si>
    <t>Шилова Е.А.</t>
  </si>
  <si>
    <t>978-5-16-020546-5</t>
  </si>
  <si>
    <t>44.04.03, 44.07.01</t>
  </si>
  <si>
    <t>144850.11.01</t>
  </si>
  <si>
    <t>Профессиональные болезни: Уч. пос. / В.В. Косарев - М.: Вуз.уч.,2025 - 252 с. (п)</t>
  </si>
  <si>
    <t>ПРОФЕССИОНАЛЬНЫЕ БОЛЕЗНИ</t>
  </si>
  <si>
    <t>Косарев В. В., Бабанов С. А.</t>
  </si>
  <si>
    <t>978-5-9558-0178-0</t>
  </si>
  <si>
    <t>31.05.01, 31.06.01, 31.07.01, 31.08.44, 32.05.01, 34.03.01</t>
  </si>
  <si>
    <t>Рекомендовано Учебно-методическим объединением по медицинскому и фармацевтическому образованию вузов России в качестве учебного пособия для системы послевузовского профессионального образования врачей</t>
  </si>
  <si>
    <t>414600.11.01</t>
  </si>
  <si>
    <t>Профессиональные заболев.мед.работников: Моногр. / В.В.Косарев - М.:НИЦ ИНФРА-М,2023 - 174 с.(Науч.мысль)(о)</t>
  </si>
  <si>
    <t>ПРОФЕССИОНАЛЬНЫЕ ЗАБОЛЕВАНИЯ МЕДИЦИНСКИХ РАБОТНИКОВ</t>
  </si>
  <si>
    <t>Косарев В.В., Бабанов С.А.</t>
  </si>
  <si>
    <t>978-5-16-006220-4</t>
  </si>
  <si>
    <t>457154.0061.01</t>
  </si>
  <si>
    <t>Профильная школа, 2024, № 4 (127)</t>
  </si>
  <si>
    <t>ПРОФИЛЬНАЯ ШКОЛА, 2024, № 4 (127)</t>
  </si>
  <si>
    <t>457154.0067.01</t>
  </si>
  <si>
    <t>Профильная школа, 2025, № 4 (133)</t>
  </si>
  <si>
    <t>ПРОФИЛЬНАЯ ШКОЛА, 2025, № 4 (133)</t>
  </si>
  <si>
    <t>215300.07.01</t>
  </si>
  <si>
    <t>Процесс формирования научного знания..: Моногр./В.И.Кондауров-М.:НИЦ ИНФРА-М,2024-128(Науч.мысль)(о)</t>
  </si>
  <si>
    <t>ПРОЦЕСС ФОРМИРОВАНИЯ НАУЧНОГО ЗНАНИЯ (ОНТОЛОГИЧЕСКИЙ, ГНОСЕОЛОГИЧЕСКИЙ И ЛОГИЧЕСКИЙ АСПЕКТЫ)</t>
  </si>
  <si>
    <t>Кондауров В. И.</t>
  </si>
  <si>
    <t>978-5-16-006902-9</t>
  </si>
  <si>
    <t>01.04.01, 01.04.03, 02.04.01, 07.04.01, 14.04.02, 38.04.08, 42.04.03, 44.04.02, 44.04.04, 46.04.02, 47.03.01, 47.04.01, 51.03.03</t>
  </si>
  <si>
    <t>801761.01.01</t>
  </si>
  <si>
    <t>Процессы термодиффузии и упроч. металлов...: Моногр. / Под ред. Пряхина Е.И. - М.:НИЦ ИНФРА-М,2024. - 250 с.(п)</t>
  </si>
  <si>
    <t>ПРОЦЕССЫ ТЕРМОДИФФУЗИИ И УПРОЧНЕНИЯ МЕТАЛЛОВ В ПЕРЕМЕННОМ ЭЛЕКТРОМАГНИТНОМ ПОЛЕ</t>
  </si>
  <si>
    <t>Кубанцев В.И., Трачевский М.Л., Пущанский В.В. и др.</t>
  </si>
  <si>
    <t>978-5-16-018702-0</t>
  </si>
  <si>
    <t>15.03.01, 15.06.01, 22.03.01, 22.03.02, 22.04.01, 22.06.01</t>
  </si>
  <si>
    <t>Металлресурс</t>
  </si>
  <si>
    <t>642426.07.01</t>
  </si>
  <si>
    <t>Прочность, трещиностойк.и долговеч.конструкц.бетона: Моногр./ С.Н.Леонович-М.:НИЦ ИНФРА-М,2024-258с.</t>
  </si>
  <si>
    <t>ПРОЧНОСТЬ, ТРЕЩИНОСТОЙКОСТЬ И ДОЛГОВЕЧНОСТЬ КОНСТРУКЦИОННОГО БЕТОНА ПРИ ТЕМПЕРАТУРНЫХ И ВЛАЖНОСТНЫХ ВОЗДЕЙСТВИЯХ</t>
  </si>
  <si>
    <t>Леонович С.Н., Зайцев Ю.В., Доркин В.В. и др.</t>
  </si>
  <si>
    <t>978-5-16-013191-7</t>
  </si>
  <si>
    <t>721143.01.01</t>
  </si>
  <si>
    <t>Прямые иностранные инвестиции в электроэнерг. России: Моногр. / Я.Н.Зубкова - М.:Магистр,2019 - 204 с.(О)</t>
  </si>
  <si>
    <t>ПРЯМЫЕ ИНОСТРАННЫЕ ИНВЕСТИЦИИ В ЭЛЕКТРОЭНЕРГЕТИКЕ РОССИИ</t>
  </si>
  <si>
    <t>Зубкова Я.Н.</t>
  </si>
  <si>
    <t>978-5-9776-0510-6</t>
  </si>
  <si>
    <t>38.04.01, 38.04.04, 38.05.01, 41.04.05</t>
  </si>
  <si>
    <t>846299.04.01</t>
  </si>
  <si>
    <t>Психологическая помощь в кризисной ситуации / О.О.Андронникова - М.:НИЦ ИНФРА-М,2025. - 378 с. [16+](п)</t>
  </si>
  <si>
    <t>ПСИХОЛОГИЧЕСКАЯ ПОМОЩЬ В КРИЗИСНОЙ СИТУАЦИИ</t>
  </si>
  <si>
    <t>Андронникова О.О.</t>
  </si>
  <si>
    <t>978-5-16-020489-5</t>
  </si>
  <si>
    <t>37.04.01, 37.05.02, 44.03.01, 44.03.02</t>
  </si>
  <si>
    <t>854764.02.01</t>
  </si>
  <si>
    <t>Психологические исслед. конспиратив. ментальности..: Моногр. / В.И.Пищик - М.:НИЦ ИНФРА-М,2026. - 136 с.(о)</t>
  </si>
  <si>
    <t>ПСИХОЛОГИЧЕСКИЕ ИССЛЕДОВАНИЯ КОНСПИРАТИВИСТСКОЙ МЕНТАЛЬНОСТИ: В ЗАГОВОРЕ ПРОТИВ СЕБЯ И МИРА</t>
  </si>
  <si>
    <t>Пищик В.И., Постникова М.И.</t>
  </si>
  <si>
    <t>978-5-16-020923-4</t>
  </si>
  <si>
    <t>37.04.01, 37.04.02, 37.05.01, 37.06.01, 40.04.01, 40.05.03, 40.06.01</t>
  </si>
  <si>
    <t>110300.09.01</t>
  </si>
  <si>
    <t>Психологические основы экономического поведения / Ю.Я. Ольсевич - М.: ИНФРА-М, 2025 - 413 с. (П)</t>
  </si>
  <si>
    <t>ПСИХОЛОГИЧЕСКИЕ ОСНОВЫ ЭКОНОМИЧЕСКОГО ПОВЕДЕНИЯ</t>
  </si>
  <si>
    <t>Ольсевич Ю. Я.</t>
  </si>
  <si>
    <t>978-5-16-003628-1</t>
  </si>
  <si>
    <t>639924.08.01</t>
  </si>
  <si>
    <t>Психологические типы: Моногр. / С.Ю.Поройков - 2 изд. - М.:НИЦ ИНФРА-М,2025 - 306 с.(Науч.мысль)(П)</t>
  </si>
  <si>
    <t>ПСИХОЛОГИЧЕСКИЕ ТИПЫ, ИЗД.2</t>
  </si>
  <si>
    <t>978-5-16-012255-7</t>
  </si>
  <si>
    <t>37.03.01, 37.05.01</t>
  </si>
  <si>
    <t>300200.06.01</t>
  </si>
  <si>
    <t>Психологические типы: Монография / С.Ю.Поройков - М.:НИЦ ИНФРА-М,2022 - 262 с.-(Науч.мысль)(п)</t>
  </si>
  <si>
    <t>ПСИХОЛОГИЧЕСКИЕ ТИПЫ</t>
  </si>
  <si>
    <t>978-5-16-010153-8</t>
  </si>
  <si>
    <t>844886.01.01</t>
  </si>
  <si>
    <t>Психологические факторы реабилитац. потенциала у...: Моногр. / В.С.Сорокина - М.:НИЦ ИНФРА-М,2025. -167 с.(о)</t>
  </si>
  <si>
    <t>ПСИХОЛОГИЧЕСКИЕ ФАКТОРЫ РЕАБИЛИТАЦИОННОГО ПОТЕНЦИАЛА У ПАЦИЕНТОВ С ДЕПРЕССИВНЫМ СИНДРОМОМ</t>
  </si>
  <si>
    <t>Сорокина В.С., Иванова Е.М., Ениколопов С.Н.</t>
  </si>
  <si>
    <t>978-5-16-020700-1</t>
  </si>
  <si>
    <t>37.04.01, 37.05.01, 37.06.01</t>
  </si>
  <si>
    <t>Федеральный научно-клинический центр реаниматологии и реабилитологии</t>
  </si>
  <si>
    <t>845607.04.01</t>
  </si>
  <si>
    <t>Психология воспитания стрессосовладающего поведения / Н.П.Фетискин - М.:Форум, НИЦ ИНФРА-М,2026 - 240с(п)</t>
  </si>
  <si>
    <t>ПСИХОЛОГИЯ ВОСПИТАНИЯ СТРЕССОСОВЛАДАЮЩЕГО ПОВЕДЕНИЯ</t>
  </si>
  <si>
    <t>Фетискин Н.П.</t>
  </si>
  <si>
    <t>978-5-00091-816-6</t>
  </si>
  <si>
    <t>37.03.02, 37.05.01</t>
  </si>
  <si>
    <t>443050.11.01</t>
  </si>
  <si>
    <t>Психология высших достижений личности..: Моногр. / Т.Ф.Базылевич - М.:НИЦ ИНФРА-М,2025 - 330 с.(Науч.мысль)(О)</t>
  </si>
  <si>
    <t>ПСИХОЛОГИЯ ВЫСШИХ ДОСТИЖЕНИЙ ЛИЧНОСТИ (ПСИХОАКМЕОЛОГИЯ)</t>
  </si>
  <si>
    <t>978-5-16-006851-0</t>
  </si>
  <si>
    <t>37.03.01, 37.03.02, 37.04.01, 37.04.02, 37.05.01, 37.05.02, 44.03.01, 44.03.05</t>
  </si>
  <si>
    <t>482350.08.01</t>
  </si>
  <si>
    <t>Психология массового поведения: Монография / В.А.Соснин - М.:Форум, НИЦ ИНФРА-М,2024 - 159 с.(о)</t>
  </si>
  <si>
    <t>ПСИХОЛОГИЯ МАССОВОГО ПОВЕДЕНИЯ</t>
  </si>
  <si>
    <t>Соснин В.А.</t>
  </si>
  <si>
    <t>978-5-00091-003-0</t>
  </si>
  <si>
    <t>639469.07.01</t>
  </si>
  <si>
    <t>Психология межнациональных отношений: Курс лекций / В.Г.Крысько - 2 изд. - М.:Вуз.уч.,НИЦ ИНФРА-М,2025-228 с.(П)</t>
  </si>
  <si>
    <t>ПСИХОЛОГИЯ МЕЖНАЦИОНАЛЬНЫХ ОТНОШЕНИЙ, ИЗД.2</t>
  </si>
  <si>
    <t>Крысько В.Г.</t>
  </si>
  <si>
    <t>978-5-16-020191-7</t>
  </si>
  <si>
    <t>37.03.01, 37.04.01, 41.04.01, 51.03.02</t>
  </si>
  <si>
    <t>641989.05.01</t>
  </si>
  <si>
    <t>Психология обучения и воспитания...: Моногр./ Под ред. Кондратьева С.В.-М.:НИЦ ИНФРА-М,2024.-256 с(п)</t>
  </si>
  <si>
    <t>ПСИХОЛОГИЯ ОБУЧЕНИЯ И ВОСПИТАНИЯ: ГУМАНИТАРНАЯ ХРИСТИАНСКАЯ ПАРАДИГМА</t>
  </si>
  <si>
    <t>Карпиков А.А., Кондратьев С.В., Кондратьев С.В.</t>
  </si>
  <si>
    <t>978-5-16-012719-4</t>
  </si>
  <si>
    <t>37.03.01, 44.03.05, 44.04.02</t>
  </si>
  <si>
    <t>726499.02.01</t>
  </si>
  <si>
    <t>Психология познания дошк. в проф.-педагог. деят... / Г.А.Урунтаева - М.:НИЦ ИНФРА-М,2022 - 215 с.(О)</t>
  </si>
  <si>
    <t>ПСИХОЛОГИЯ ПОЗНАНИЯ ДОШКОЛЬНИКА В ПРОФЕССИОНАЛЬНО-ПЕДАГОГИЧЕСКОЙ ДЕЯТЕЛЬНОСТИ ВОСПИТАТЕЛЯ</t>
  </si>
  <si>
    <t>Урунтаева Г.А., Гошева Е.Н.</t>
  </si>
  <si>
    <t>978-5-16-015994-2</t>
  </si>
  <si>
    <t>44.03.02</t>
  </si>
  <si>
    <t>Институт изучения детства, семьи и воспитания Российской академии образования</t>
  </si>
  <si>
    <t>473650.04.01</t>
  </si>
  <si>
    <t>Психология разрушения: Моногр. / Т.И.Чиркова - М.:Вуз.уч.:НИЦ ИНФРА-М,2025 - 192 с.(Науч. книга) (о)</t>
  </si>
  <si>
    <t>ПСИХОЛОГИЯ РАЗРУШЕНИЯ</t>
  </si>
  <si>
    <t>Чиркова Т.И.</t>
  </si>
  <si>
    <t>978-5-9558-0385-2</t>
  </si>
  <si>
    <t>742521.06.01</t>
  </si>
  <si>
    <t>Психология региональных выборов: Моногр. / И.В.Грошев. - М.:НИЦ ИНФРА-М,2026. - 251 с.(Науч.мысль)(О)</t>
  </si>
  <si>
    <t>ПСИХОЛОГИЯ РЕГИОНАЛЬНЫХ ВЫБОРОВ: КАНДИДАТЫ И ИЗБИРАТЕЛИ</t>
  </si>
  <si>
    <t>Грошев И.В., Горбенко А.В., Давыдова Ю.А.</t>
  </si>
  <si>
    <t>978-5-16-016484-7</t>
  </si>
  <si>
    <t>39.04.01, 39.06.01, 41.04.04, 41.06.01</t>
  </si>
  <si>
    <t>Научно-исследовательский институт образования и науки</t>
  </si>
  <si>
    <t>654724.03.01</t>
  </si>
  <si>
    <t>Психология российского и международного бизнеса: Моногр. / Е.А.Руднев-М.:НИЦ ИНФРА-М,2019-139с(О)</t>
  </si>
  <si>
    <t>ПСИХОЛОГИЯ РОССИЙСКОГО И МЕЖДУНАРОДНОГО БИЗНЕСА</t>
  </si>
  <si>
    <t>Руднев Е.А.</t>
  </si>
  <si>
    <t>978-5-16-012797-2</t>
  </si>
  <si>
    <t>38.03.01, 38.03.02, 38.03.03, 38.03.04, 38.04.01, 38.04.02, 38.04.03, 38.04.04, 43.03.02, 43.03.03</t>
  </si>
  <si>
    <t>795915.04.01</t>
  </si>
  <si>
    <t>Психология русского народа: Моногр. / Д.А.Севостьянов - М.:НИЦ ИНФРА-М,2026. - 356 с.(Науч.мысль)(п)</t>
  </si>
  <si>
    <t>ПСИХОЛОГИЯ РУССКОГО НАРОДА</t>
  </si>
  <si>
    <t>Севостьянов Д.А.</t>
  </si>
  <si>
    <t>978-5-16-018304-6</t>
  </si>
  <si>
    <t>37.04.01, 37.04.02, 37.06.01, 39.04.01, 39.04.03, 39.06.01, 39.07.01, 41.04.02, 41.04.04, 41.04.05, 41.04.06, 41.06.01, 41.07.01, 47.04.01, 47.06.01, 47.07.01</t>
  </si>
  <si>
    <t>444950.12.01</t>
  </si>
  <si>
    <t>Психология самопрезентации личности: Моногр. / О.А.Пикулева - М.:НИЦ ИНФРА-М,2026 - 320 с.(Науч.мысль)(П)</t>
  </si>
  <si>
    <t>ПСИХОЛОГИЯ САМОПРЕЗЕНТАЦИИ ЛИЧНОСТИ</t>
  </si>
  <si>
    <t>Пикулева О.А.</t>
  </si>
  <si>
    <t>978-5-16-006926-5</t>
  </si>
  <si>
    <t>37.03.01, 38.03.01, 38.03.03, 38.04.03, 41.03.06, 42.03.01, 42.04.01</t>
  </si>
  <si>
    <t>185050.11.01</t>
  </si>
  <si>
    <t>Психология суицидального терроризма...:Моногр./ Под ред. Журавлева А.Л.-М.:Форум, НИЦ ИНФРА-М,2023-256с.(О)</t>
  </si>
  <si>
    <t>ПСИХОЛОГИЯ СУИЦИДАЛЬНОГО ТЕРРОРИЗМА: ИСТОРИЧЕСКИЕ АНАЛОГИИ И ГЕОПОЛИТИЧЕСКИЕ ТЕНДЕНЦИИ В XXI ВЕКЕ</t>
  </si>
  <si>
    <t>Соснин В. А., Журавлев А. Л.</t>
  </si>
  <si>
    <t>978-5-00091-643-8</t>
  </si>
  <si>
    <t>426150.06.01</t>
  </si>
  <si>
    <t>Психолого-педагогические осн. подгот. препод. иностр. яз..:Моногр./ Л.В.Губанова-ИНФРА-М,2024-289с(О)</t>
  </si>
  <si>
    <t>ПСИХОЛОГО-ПЕДАГОГИЧЕСКИЕ ОСНОВЫ ПОДГОТОВКИ ПРЕПОДАВАТЕЛЕЙ ИНОСТРАННЫХ ЯЗЫКОВ (В УСЛОВИЯХ РАБОТЫ В НЕЯЗЫКОВЫХ УЧЕБНЫХ ЗАВЕДЕНИЯХ)</t>
  </si>
  <si>
    <t>Губанова Л. В.</t>
  </si>
  <si>
    <t>978-5-16-006603-5</t>
  </si>
  <si>
    <t>44.03.02, 44.04.02, 45.03.01, 45.04.01</t>
  </si>
  <si>
    <t>704207.03.01</t>
  </si>
  <si>
    <t>Публичная собственность: опыт конст.-прав. осмысления: Моногр./ М.В.Бородач - М.:Юр.Норма,2022 - 576 с(П)</t>
  </si>
  <si>
    <t>ПУБЛИЧНАЯ СОБСТВЕННОСТЬ: ОПЫТ КОНСТИТУЦИОННО-ПРАВОВОГО ОСМЫСЛЕНИЯ</t>
  </si>
  <si>
    <t>Бородач М.В.</t>
  </si>
  <si>
    <t>978-5-91768-608-0</t>
  </si>
  <si>
    <t>768264.01.01</t>
  </si>
  <si>
    <t>Публично-правовое значение актов гражданского сост...: Моногр. / И.А.Трофимец - М.:НИЦ ИНФРА-М,2022 - 160с(О)</t>
  </si>
  <si>
    <t>ПУБЛИЧНО-ПРАВОВОЕ ЗНАЧЕНИЕ АКТОВ ГРАЖДАНСКОГО СОСТОЯНИЯ (НА ПРИМЕРЕ ЗАКОНОДАТЕЛЬСТВА РОССИИ И ИСПАНИИ)</t>
  </si>
  <si>
    <t>Трофимец И.А.</t>
  </si>
  <si>
    <t>978-5-16-017357-3</t>
  </si>
  <si>
    <t>141750.07.01</t>
  </si>
  <si>
    <t>Публично-правовое образование / В.Е. Чиркин. - М.: Норма:  НИЦ ИНФРА-М, 2023. - 336 с. (п)</t>
  </si>
  <si>
    <t>ПУБЛИЧНО-ПРАВОВОЕ ОБРАЗОВАНИЕ</t>
  </si>
  <si>
    <t>978-5-91768-140-5</t>
  </si>
  <si>
    <t>825375.02.01</t>
  </si>
  <si>
    <t>Публично-правовое регулир. миграции в РФ: Моногр. / О.В.Катаева - М.:НИЦ ИНФРА-М,2025. - 261 с.(п)</t>
  </si>
  <si>
    <t>ПУБЛИЧНО-ПРАВОВОЕ РЕГУЛИРОВАНИЕ МИГРАЦИИ В РОССИЙСКОЙ ФЕДЕРАЦИИ</t>
  </si>
  <si>
    <t>Катаева О.В.</t>
  </si>
  <si>
    <t>978-5-16-019899-6</t>
  </si>
  <si>
    <t>40.04.01, 40.06.01, 41.04.01, 41.04.04, 41.06.01</t>
  </si>
  <si>
    <t>Белгородский юридический институт Министерства внутренних дел Российской Федерации им. И.Д. Путилина</t>
  </si>
  <si>
    <t>664198.02.01</t>
  </si>
  <si>
    <t>Публичные доходы в РФ: фин.-прав.аспект: Моногр. / Н.В.Васильева-М.:Юр.Норма, НИЦ ИНФРА-М,2019-304с.</t>
  </si>
  <si>
    <t>ПУБЛИЧНЫЕ ДОХОДЫ В РФ: ФИНАНСОВО-ПРАВОВОЙ АСПЕКТ</t>
  </si>
  <si>
    <t>Васильева Н.В., Грачева Е.Ю.</t>
  </si>
  <si>
    <t>978-5-91768-851-0</t>
  </si>
  <si>
    <t>38.04.01, 38.04.02, 38.04.04, 38.04.08, 40.04.01</t>
  </si>
  <si>
    <t>699390.02.01</t>
  </si>
  <si>
    <t>Публичный контроль во Франции: Моногр. / А.Н.Пилипенко - М.:НИЦ ИНФРА-М,2023 - 256 с.-(ИЗиСП)(П)</t>
  </si>
  <si>
    <t>ПУБЛИЧНЫЙ КОНТРОЛЬ ВО ФРАНЦИИ</t>
  </si>
  <si>
    <t>Пилипенко А.Н.</t>
  </si>
  <si>
    <t>978-5-16-014700-0</t>
  </si>
  <si>
    <t>849021.01.01</t>
  </si>
  <si>
    <t>Путем великой державы: очерки сравнительной ист...: Моногр. / А.А.Кривопалов-М.:НИЦ ИНФРА-М,2025.-405 с.(п)</t>
  </si>
  <si>
    <t>ПУТЕМ ВЕЛИКОЙ ДЕРЖАВЫ: ОЧЕРКИ СРАВНИТЕЛЬНОЙ ИСТОРИИ СТРАТЕГИЧЕСКИХ КУЛЬТУР РОССИИ И США В XX ВЕКЕ</t>
  </si>
  <si>
    <t>Кривопалов А.А., Вершинин А.А.</t>
  </si>
  <si>
    <t>978-5-16-020596-0</t>
  </si>
  <si>
    <t>Национальный исследовательский институт мировой экономики и международных отношений им. Е.М. Примакова</t>
  </si>
  <si>
    <t>774775.01.01</t>
  </si>
  <si>
    <t>Пути и средства обеспечения преемственности обуч... / М.А.Родионов-М.:НИЦ ИНФРА-М,2023.-216 с.(о)</t>
  </si>
  <si>
    <t>ПУТИ И СРЕДСТВА ОБЕСПЕЧЕНИЯ ПРЕЕМСТВЕННОСТИ ОБУЧЕНИЯ МЕЖДУ ШКОЛОЙ И ВОЕННЫМ ВУЗОМ (НА МАТЕРИАЛЕ МАТЕМАТИКИ И ИНФОРМАТИКИ)</t>
  </si>
  <si>
    <t>Родионов М.А., Гусева Е.В., Шабанов Г.И.</t>
  </si>
  <si>
    <t>978-5-16-017700-7</t>
  </si>
  <si>
    <t>680118.02.01</t>
  </si>
  <si>
    <t>Пути развития словацкой литер. XIX -начала XXI века: Моногр./А.Г.Машкова-М.:НИЦ ИНФРА-М,2019-289с(П)</t>
  </si>
  <si>
    <t>ПУТИ РАЗВИТИЯ СЛОВАЦКОЙ ЛИТЕРАТУРЫ XIX - НАЧАЛА XXI ВЕКА</t>
  </si>
  <si>
    <t>Машкова А.Г.</t>
  </si>
  <si>
    <t>978-5-16-013769-8</t>
  </si>
  <si>
    <t>44.03.05, 51.03.01, 51.03.06, 52.03.04, 52.03.05</t>
  </si>
  <si>
    <t>Московский государственный университет им. М.В. Ломоносова, филологический факультет</t>
  </si>
  <si>
    <t>636876.07.01</t>
  </si>
  <si>
    <t>Пути формирования наглядных форм мышления...: Моногр. / Е.А.Стребелева - М.:НИЦ ИНФРА-М,2026 - 210 с.(П)</t>
  </si>
  <si>
    <t>ПУТИ ФОРМИРОВАНИЯ  НАГЛЯДНЫХ ФОРМ МЫШЛЕНИЯ У ДОШКОЛЬНИКОВ С НАРУШЕНИЕМ ИНТЕЛЛЕКТА</t>
  </si>
  <si>
    <t>Стребелева Е.А.</t>
  </si>
  <si>
    <t>978-5-16-012184-0</t>
  </si>
  <si>
    <t>44.04.03</t>
  </si>
  <si>
    <t>842762.01.01</t>
  </si>
  <si>
    <t>Рабочее время по труд. праву России: Моногр. / И.И.Андриановская - М.:НИЦ ИНФРА-М,2025. - 178 с.(Науч.мысль)(о)</t>
  </si>
  <si>
    <t>РАБОЧЕЕ ВРЕМЯ ПО ТРУДОВОМУ ПРАВУ РОССИИ (ПРОДОЛЖИТЕЛЬНОСТЬ, РАСПРЕДЕЛЕНИЕ, УЧЁТ)</t>
  </si>
  <si>
    <t>Андриановская И.И.</t>
  </si>
  <si>
    <t>978-5-16-020375-1</t>
  </si>
  <si>
    <t>38.03.01, 38.03.03, 38.03.04, 38.05.01, 38.05.02, 40.03.01, 40.05.01, 40.05.02, 40.05.03, 40.05.04</t>
  </si>
  <si>
    <t>Российская государственная академия интеллектуальной собственности</t>
  </si>
  <si>
    <t>475500.09.01</t>
  </si>
  <si>
    <t>Равноправие и равенство: Моногр. / В.Н.Кудрявцев - М.:Юр.Норма, НИЦ ИНФРА-М,2026 - 184 с.(П)</t>
  </si>
  <si>
    <t>РАВНОПРАВИЕ И РАВЕНСТВО</t>
  </si>
  <si>
    <t>978-5-91768-705-6</t>
  </si>
  <si>
    <t>39.04.01</t>
  </si>
  <si>
    <t>244500.06.01</t>
  </si>
  <si>
    <t>Радионуклидная диагностика с нейротропными..: Моногр. / В.Б.Сергиенко - ИНФРА-М,2023 - 112 с.(О)</t>
  </si>
  <si>
    <t>РАДИОНУКЛИДНАЯ ДИАГНОСТИКА С НЕЙРОТРОПНЫМИ РАДИОФАРМПРЕПАРАТАМИ</t>
  </si>
  <si>
    <t>Сергиенко В. Б., Аншелес А. А.</t>
  </si>
  <si>
    <t>978-5-16-009170-9</t>
  </si>
  <si>
    <t>674506.02.01</t>
  </si>
  <si>
    <t>Развитие аутопсихологической компетентности....: Моногр./ О.В.Полетаева.-М.:ИНФРА-М, 2024-124с(О)</t>
  </si>
  <si>
    <t>РАЗВИТИЕ АУТОПСИХОЛОГИЧЕСКОЙ КОМПЕТЕНТНОСТИ В ПРОФЕССИОНАЛЬНОЙ ПОДГОТОВКЕ СПЕЦИАЛИСТОВ С  УЧЕТОМ СПЕЦИФИКИ РАБОТЫ В АРКТИКЕ</t>
  </si>
  <si>
    <t>Полетаева О.В.</t>
  </si>
  <si>
    <t>978-5-16-013677-6</t>
  </si>
  <si>
    <t>23.03.01, 37.03.01, 44.03.01, 44.03.02, 44.04.01, 44.04.02</t>
  </si>
  <si>
    <t>Тюменский индустриальный университет, ф-л Ноябрьский институт нефти и газа</t>
  </si>
  <si>
    <t>425400.05.01</t>
  </si>
  <si>
    <t>Развитие вероят. стиля мышления в процессе...: Моногр. / С.Н.Дворяткина-М.:НИЦ ИНФРА-М,2022-271с.(О)</t>
  </si>
  <si>
    <t>РАЗВИТИЕ ВЕРОЯТНОСТНОГО СТИЛЯ МЫШЛЕНИЯ В ПРОЦЕССЕ ОБУЧЕНИЯ МАТЕМАТИКЕ: ТЕОРИЯ И ПРАКТИКА</t>
  </si>
  <si>
    <t>Дворяткина С. Н.</t>
  </si>
  <si>
    <t>978-5-16-006337-9</t>
  </si>
  <si>
    <t>44.03.01, 44.03.04, 44.03.05, 44.04.01, 44.04.04</t>
  </si>
  <si>
    <t>765040.02.01</t>
  </si>
  <si>
    <t>Развитие внутр. контроля в сис. управ. с/х производ.: Моногр. / Г.С.Клычова.-М.:ИЦ РИОР, НИЦ ИНФРА-М,2024.-213с(О)</t>
  </si>
  <si>
    <t>РАЗВИТИЕ ВНУТРЕННЕГО КОНТРОЛЯ В СИСТЕМЕ УПРАВЛЕНИЯ СЕЛЬСКОХОЗЯЙСТВЕННЫМ ПРОИЗВОДСТВОМ</t>
  </si>
  <si>
    <t>Клычова Г.С., Закирова А.Р., Валиев А.Р. и др.</t>
  </si>
  <si>
    <t>978-5-369-01877-4</t>
  </si>
  <si>
    <t>Казанский государственный аграрный университет</t>
  </si>
  <si>
    <t>670758.06.01</t>
  </si>
  <si>
    <t>Развитие демократич. принципов и институтов... / В.И.Васильев - М.:Юр.Норма, НИЦ ИНФРА-М,2026 - 288 с.(П)</t>
  </si>
  <si>
    <t>РАЗВИТИЕ ДЕМОКРАТИЧЕСКИХ ПРИНЦИПОВ И ИНСТИТУТОВ НА МУНИЦИПАЛЬНОМ УРОВНЕ: ПРАВОВЫЕ АСПЕКТЫ</t>
  </si>
  <si>
    <t>Васильев В.И., Постников А.Е., Помазанский А.Е.</t>
  </si>
  <si>
    <t>978-5-91768-868-8</t>
  </si>
  <si>
    <t>38.03.04, 38.04.01, 38.04.04, 40.03.01, 40.04.01, 40.06.01</t>
  </si>
  <si>
    <t>Северо-Восточный федеральный университет им. М.К.Аммосова, Чукотский ф-л</t>
  </si>
  <si>
    <t>674446.03.01</t>
  </si>
  <si>
    <t>Развитие дет. изо. творчества под влиянием...: Моногр. / С.В.Погодина - М.:НИЦ ИНФРА-М,2025. - 361 с.(П)</t>
  </si>
  <si>
    <t>РАЗВИТИЕ ДЕТСКОГО ИЗОБРАЗИТЕЛЬНОГО ТВОРЧЕСТВА ПОД ВЛИЯНИЕМ ХУДОЖЕСТВЕННЫХ ЭТАЛОНОВ В РАМКАХ КОНЦЕПЦИИ ТРАНСФОРМИРУЕМЫХ ЭСТЕТИЧЕСКИХ АРХЕТИПОВ</t>
  </si>
  <si>
    <t>Погодина С.В.</t>
  </si>
  <si>
    <t>978-5-16-017482-2</t>
  </si>
  <si>
    <t>432150.03.01</t>
  </si>
  <si>
    <t>Развитие идеи гос.регулир. дефект.рынка..:Моногр. /В.С.Гродский -М.:ИЦ РИОР,НИЦ ИНФРА-М,2019-116с(О)</t>
  </si>
  <si>
    <t>РАЗВИТИЕ ИДЕИ ГОСУДАРСТВЕННОГО РЕГУЛИРОВАНИЯ ДЕФЕКТОВ РЫНКА ДЖ. М. КЕЙНСА</t>
  </si>
  <si>
    <t>Гродский В. С.</t>
  </si>
  <si>
    <t>978-5-369-01193-5</t>
  </si>
  <si>
    <t>38.04.01, 38.04.04, 44.03.01</t>
  </si>
  <si>
    <t>773010.01.01</t>
  </si>
  <si>
    <t>Развитие идей творческой деят. учащихся в теории...: Моногр. / К.Ю.Герасимова-М.:НИЦ ИНФРА-М,2022.-183 с.(О)</t>
  </si>
  <si>
    <t>РАЗВИТИЕ ИДЕЙ ТВОРЧЕСКОЙ ДЕЯТЕЛЬНОСТИ УЧАЩИХСЯ В ТЕОРИИ И ПРАКТИКЕ РОССИЙСКОЙ И НЕМЕЦКОЙ ПЕДАГОГИКИ КОНЦА XIX - НАЧАЛА XX ВЕКА</t>
  </si>
  <si>
    <t>Герасимова К.Ю., Аллагулов А.М.</t>
  </si>
  <si>
    <t>978-5-16-017510-2</t>
  </si>
  <si>
    <t>44.03.01, 44.03.02, 44.03.05, 44.04.01, 44.06.01</t>
  </si>
  <si>
    <t>Оренбургский государственный педагогический университет</t>
  </si>
  <si>
    <t>680300.02.01</t>
  </si>
  <si>
    <t>Развитие инновац. альянсов в эконом. Крыма: Моногр./ С.П.Кирильчук-М.:НИЦ ИНФРА-М,2020-237с(П)</t>
  </si>
  <si>
    <t>РАЗВИТИЕ ИННОВАЦИОННЫХ АЛЬЯНСОВ В ЭКОНОМИКЕ КРЫМА</t>
  </si>
  <si>
    <t>Кирильчук С.П., Наливайченко Е.В., Ежакова Н.В. и др.</t>
  </si>
  <si>
    <t>978-5-16-014045-2</t>
  </si>
  <si>
    <t>27.04.05, 27.04.07, 38.03.01, 38.03.02, 38.03.04, 38.04.01, 38.04.02, 38.04.04, 44.03.01</t>
  </si>
  <si>
    <t>780143.01.01</t>
  </si>
  <si>
    <t>Развитие интеллект.способ.детей старш.дошк.возр...: Моногр. / М.Ю.Стожарова.-М.:НИЦ ИНФРА-М,2023.-274с(п)</t>
  </si>
  <si>
    <t>РАЗВИТИЕ ИНТЕЛЛЕКТУАЛЬНЫХ СПОСОБНОСТЕЙ ДЕТЕЙ СТАРШЕГО ДОШКОЛЬНОГО ВОЗРАСТА В РАЗЛИЧНЫХ ФОРМАХ МАТЕМАТИЧЕСКОЙ РАБОТЫ</t>
  </si>
  <si>
    <t>Стожарова М.Ю., Сидорова Ю.Ю., Нуртдинова Л.Б. и др.</t>
  </si>
  <si>
    <t>978-5-16-018371-8</t>
  </si>
  <si>
    <t>44.03.01, 44.03.05, 44.04.01, 44.04.04, 44.06.01</t>
  </si>
  <si>
    <t>Ульяновский государственный педагогический университет им. И.Н. Ульянова</t>
  </si>
  <si>
    <t>665757.04.01</t>
  </si>
  <si>
    <t>Развитие исслед. культуры совр. студ. в вузе: Моногр. / О.Н.Шихова-М.:НИЦ ИНФРА-М,2023-126с(О)</t>
  </si>
  <si>
    <t>РАЗВИТИЕ ИССЛЕДОВАТЕЛЬСКОЙ КУЛЬТУРЫ СОВРЕМЕННЫХ СТУДЕНТОВ В ВУЗЕ</t>
  </si>
  <si>
    <t>Шихова О.Н.</t>
  </si>
  <si>
    <t>978-5-16-013186-3</t>
  </si>
  <si>
    <t>44.00.00, 44.03.01, 44.03.02, 44.03.03, 44.03.04, 44.03.05, 44.04.01, 44.04.02, 44.04.03, 44.04.04, 44.05.01</t>
  </si>
  <si>
    <t>651838.02.01</t>
  </si>
  <si>
    <t>Развитие историч. информатики в США..: Моногр. / О.В.Рагунштейн-М.:НИЦ ИНФРА-М,2020-184с(Науч.мысль)</t>
  </si>
  <si>
    <t>РАЗВИТИЕ ИСТОРИЧЕСКОЙ ИНФОРМАТИКИ В США (50 - 90-Е ГГ. XXВ.)</t>
  </si>
  <si>
    <t>Рагунштейн О.В.</t>
  </si>
  <si>
    <t>978-5-16-012637-1</t>
  </si>
  <si>
    <t>44.03.01, 44.03.05, 44.04.01, 46.03.01, 46.04.01</t>
  </si>
  <si>
    <t>775338.01.01</t>
  </si>
  <si>
    <t>Развитие концепции формирования личности учителя..: Моногр. / А.В.Леонова-М.:НИЦ ИНФРА-М,2023.-229 с.(О)</t>
  </si>
  <si>
    <t>РАЗВИТИЕ КОНЦЕПЦИИ ФОРМИРОВАНИЯ ЛИЧНОСТИ УЧИТЕЛЯ В ИСТОРИИ И ТЕОРИИ ВЫСШЕГО ПЕДАГОГИЧЕСКОГО ОБРАЗОВАНИЯ В 90-Е ГГ. ХХ ВЕКА</t>
  </si>
  <si>
    <t>Леонова А.В.</t>
  </si>
  <si>
    <t>978-5-16-017794-6</t>
  </si>
  <si>
    <t>278600.06.01</t>
  </si>
  <si>
    <t>Развитие лидерского потенциала рук.:Моногр. / О.В.Евтихов - М.:НИЦ ИНФРА-М,2022 - 198 с.(Науч.мысль)(О)</t>
  </si>
  <si>
    <t>РАЗВИТИЕ ЛИДЕРСКОГО ПОТЕНЦИАЛА РУКОВОДИТЕЛЯ</t>
  </si>
  <si>
    <t>Евтихов О. В.</t>
  </si>
  <si>
    <t>978-5-16-009811-1</t>
  </si>
  <si>
    <t>468400.11.01</t>
  </si>
  <si>
    <t>Развитие матем. мышл. ребенка...: Моногр. /А.В.Белошистая - М.:НИЦ ИНФРА-М,2026 - 234 c.(Науч.мысль)(О)</t>
  </si>
  <si>
    <t>РАЗВИТИЕ  МАТЕМАТИЧЕСКОГО МЫШЛЕНИЯ РЕБЕНКА ДОШКОЛЬНОГО И  МЛАДШЕГО ШКОЛЬНОГО ВОЗРАСТА В ПРОЦЕССЕ ОБУЧЕНИЯ</t>
  </si>
  <si>
    <t>Белошистая А.В.</t>
  </si>
  <si>
    <t>978-5-16-016787-9</t>
  </si>
  <si>
    <t>807617.01.01</t>
  </si>
  <si>
    <t>Развитие матем. способностей реб. дош. возраста.: Моногр. / А.В.Белошистая-М.:НИЦ ИНФРА-М,2024.-178 с.(п)</t>
  </si>
  <si>
    <t>РАЗВИТИЕ МАТЕМАТИЧЕСКИХ СПОСОБНОСТЕЙ РЕБЕНКА ДОШКОЛЬНОГО ВОЗРАСТА.</t>
  </si>
  <si>
    <t>978-5-16-018975-8</t>
  </si>
  <si>
    <t>846620.03.01</t>
  </si>
  <si>
    <t>Развитие мыслительной деят. детей дош. возраста / Л.Н.Вахрушева - 2 изд. - М.:НИЦ ИНФРА-М,2026-175с[16+](п)</t>
  </si>
  <si>
    <t>РАЗВИТИЕ МЫСЛИТЕЛЬНОЙ ДЕЯТЕЛЬНОСТИ ДЕТЕЙ ДОШКОЛЬНОГО ВОЗРАСТА, ИЗД.2</t>
  </si>
  <si>
    <t>Вахрушева Л.Н.</t>
  </si>
  <si>
    <t>978-5-16-020507-6</t>
  </si>
  <si>
    <t>44.02.01, 44.02.03, 44.02.05</t>
  </si>
  <si>
    <t>485150.08.01</t>
  </si>
  <si>
    <t>Развитие организации на основе риск-менеджмента: Моногр. / Н.В.Капустина-М.:НИЦ ИНФРА-М,2023.-179 с.(О)</t>
  </si>
  <si>
    <t>РАЗВИТИЕ ОРГАНИЗАЦИИ НА ОСНОВЕ РИСК-МЕНЕДЖМЕНТА: ТЕОРИЯ, МЕТОДОЛОГИЯ И ПРАКТИКА</t>
  </si>
  <si>
    <t>Капустина Н.В.</t>
  </si>
  <si>
    <t>978-5-16-010571-0</t>
  </si>
  <si>
    <t>467200.03.01</t>
  </si>
  <si>
    <t>Развитие основных идей эконом. теории / В.С.Гродский - М.:ИЦ РИОР, НИЦ ИНФРА-М,2025 - 464 с.(Науч.мысль)(О)</t>
  </si>
  <si>
    <t>РАЗВИТИЕ ОСНОВНЫХ ИДЕЙ ЭКОНОМИЧЕСКОЙ ТЕОРИИ</t>
  </si>
  <si>
    <t>978-5-369-01552-0</t>
  </si>
  <si>
    <t>38.03.01, 38.03.03, 38.04.01</t>
  </si>
  <si>
    <t>800519.01.01</t>
  </si>
  <si>
    <t>Развитие проф. умений у студ. инж. спец.  в условиях...: Моногр. / И.Г.Шамшина-М.:НИЦ ИНФРА-М,2024-207с(о)</t>
  </si>
  <si>
    <t>РАЗВИТИЕ ПРОФЕССИОНАЛЬНЫХ УМЕНИЙ У СТУДЕНТОВ ИНЖЕНЕРНЫХ СПЕЦИАЛЬНОСТЕЙ  В УСЛОВИЯХ МОДУЛЬНОГО ОБУЧЕНИЯ</t>
  </si>
  <si>
    <t>Шамшина И.Г.</t>
  </si>
  <si>
    <t>978-5-16-019505-6</t>
  </si>
  <si>
    <t>434950.08.01</t>
  </si>
  <si>
    <t>Развитие регионал. инфраструктуры и связей между округами РФ / О.В.Рыкалина-М.:НИЦ ИНФРА-М,2024.-228 с.(О)</t>
  </si>
  <si>
    <t>РАЗВИТИЕ РЕГИОНАЛЬНОЙ ИНФРАСТРУКТУРЫ И СВЯЗЕЙ МЕЖДУ ОКРУГАМИ РОССИЙСКОЙ ФЕДЕРАЦИИ</t>
  </si>
  <si>
    <t>Рыкалина О. В.</t>
  </si>
  <si>
    <t>978-5-16-009795-4</t>
  </si>
  <si>
    <t>455350.08.01</t>
  </si>
  <si>
    <t>Развитие регионов:диагн.регион.различий: Моногр./З.В.Брагина-М.:НИЦ ИНФРА-М,2025-152с(Науч.мысль)(о)</t>
  </si>
  <si>
    <t>РАЗВИТИЕ РЕГИОНОВ: ДИАГНОСТИКА РЕГИОНАЛЬНЫХ РАЗЛИЧИЙ</t>
  </si>
  <si>
    <t>Брагина З.В., Киселев И.К.</t>
  </si>
  <si>
    <t>978-5-16-009274-4</t>
  </si>
  <si>
    <t>38.03.01, 38.03.02, 38.03.04, 38.04.01, 38.04.02, 38.04.04, 41.03.06, 44.03.01</t>
  </si>
  <si>
    <t>796038.03.01</t>
  </si>
  <si>
    <t>Развитие российского законодательства в 1930-е г.: Моногр. / Л.Л.Алексеева - М.:НИЦ ИНФРА-М,2025 - 338 с.(п)</t>
  </si>
  <si>
    <t>РАЗВИТИЕ РОССИЙСКОГО ЗАКОНОДАТЕЛЬСТВА В 1930-Е ГОДЫ</t>
  </si>
  <si>
    <t>Алексеева Л.Л., Боголюбов С.А., Васильева Л.Н. и др.</t>
  </si>
  <si>
    <t>978-5-16-018239-1</t>
  </si>
  <si>
    <t>818555.01.01</t>
  </si>
  <si>
    <t>Развитие российского права в 1940 г.: Моногр. / С.А.Боголюбов. - М.:НИЦ ИНФРА-М,2025. - 321 с.(п)</t>
  </si>
  <si>
    <t>РАЗВИТИЕ РОССИЙСКОГО ПРАВА В 1940-Е ГОДЫ</t>
  </si>
  <si>
    <t>Боголюбов С.А., Пашенцев Д.А., Алексеева Л.Л. и др.</t>
  </si>
  <si>
    <t>978-5-16-019609-1</t>
  </si>
  <si>
    <t>775289.01.01</t>
  </si>
  <si>
    <t>Развитие сис. финанс. контроля внешнеэкономич...: Моногр. / В.А.Якимова -М.:ИЦ РИОР, НИЦ ИНФРА-М,2022.-345с(П)</t>
  </si>
  <si>
    <t>РАЗВИТИЕ СИСТЕМЫ ФИНАНСОВОГО КОНТРОЛЯ ВНЕШНЕЭКОНОМИЧЕСКОЙ ДЕЯТЕЛЬНОСТИ ОРГАНИЗАЦИЙ</t>
  </si>
  <si>
    <t>Якимова В.А., Панкова С.В., Хмура С.В.</t>
  </si>
  <si>
    <t>978-5-369-01906-1</t>
  </si>
  <si>
    <t>38.02.06, 38.04.01, 38.04.06</t>
  </si>
  <si>
    <t>855140.01.01</t>
  </si>
  <si>
    <t>Развитие системы гос. управления...: Моногр. / Б.В.Россинский-М.:Юр. НОРМА,2025.-532 с.(п)</t>
  </si>
  <si>
    <t>РАЗВИТИЕ СИСТЕМЫ ГОСУДАРСТВЕННОГО УПРАВЛЕНИЯ: ВОСПОМИНАНИЯ И РАЗМЫШЛЕНИЯ АДМИНИСТРАТИВИСТА</t>
  </si>
  <si>
    <t>978-5-00156-432-4</t>
  </si>
  <si>
    <t>38.04.04, 38.05.02, 38.06.01, 40.04.01, 40.05.01, 40.05.02, 40.05.03, 40.05.04, 40.06.01</t>
  </si>
  <si>
    <t>788295.05.01</t>
  </si>
  <si>
    <t>Развитие сов. общеобраз. шк. в первые послевоен. годы..: Моногр. / А.Е.Смирницкий - М.:НИЦ ИНФРА-М,2026 - 172 с.(о)</t>
  </si>
  <si>
    <t>РАЗВИТИЕ СОВЕТСКОЙ ОБЩЕОБРАЗОВАТЕЛЬНОЙ ШКОЛЫ В ПЕРВЫЕ ПОСЛЕВОЕННЫЕ ГОДЫ (1946-1952)</t>
  </si>
  <si>
    <t>978-5-16-017974-2</t>
  </si>
  <si>
    <t>44.04.01, 44.06.01, 46.04.01, 46.06.01</t>
  </si>
  <si>
    <t>457650.10.01</t>
  </si>
  <si>
    <t>Развитие стран БРИКС в глобал. пространстве:Ч.I.Ч.II: Моногр. / Л.Н.Борисоглебская - ИНФРА-М,2025 - 224 с.(О)</t>
  </si>
  <si>
    <t>РАЗВИТИЕ СТРАН БРИКС В ГЛОБАЛЬНОМ ПРОСТРАНСТВЕ</t>
  </si>
  <si>
    <t>Борисоглебская Л.Н., Борисоглебская Л.Н., Четвериков В.М. и др.</t>
  </si>
  <si>
    <t>978-5-16-009403-8</t>
  </si>
  <si>
    <t>38.03.01, 38.03.04, 38.04.01, 44.03.05, 47.03.03, 47.04.03</t>
  </si>
  <si>
    <t>Калининградский государственный технический университет, Научно-техническая библиотека</t>
  </si>
  <si>
    <t>853100.01.01</t>
  </si>
  <si>
    <t>Развитие сферы платформенной занятости: проблемы..: Моногр. / О.В.Забелина - М.:НИЦ ИНФРА-М,2025. - 162 с.(п)</t>
  </si>
  <si>
    <t>РАЗВИТИЕ СФЕРЫ ПЛАТФОРМЕННОЙ ЗАНЯТОСТИ: ПРОБЛЕМЫ, РИСКИ, ПАРТНЕРСТВО</t>
  </si>
  <si>
    <t>978-5-16-020839-8</t>
  </si>
  <si>
    <t>38.03.01, 38.03.03, 38.04.01, 38.04.02, 38.04.03, 38.04.04, 38.04.09, 38.06.01, 39.04.01, 41.03.06</t>
  </si>
  <si>
    <t>800250.01.01</t>
  </si>
  <si>
    <t>Развитие сферы услуг на основе клиентоориентир. подхода: Моногр. / Ю.С.Клюева.-М.:НИЦ ИНФРА-М,2023.-172 с.(о)</t>
  </si>
  <si>
    <t>РАЗВИТИЕ СФЕРЫ УСЛУГ НА ОСНОВЕ КЛИЕНТООРИЕНТИРОВАННОГО ПОДХОДА</t>
  </si>
  <si>
    <t>Груздева В.В., Груздев Г.В., Клюева Ю.С. и др.</t>
  </si>
  <si>
    <t>978-5-16-018322-0</t>
  </si>
  <si>
    <t>43.03.01, 43.04.01</t>
  </si>
  <si>
    <t>Нижегородский государственный инженерно-экономический университет</t>
  </si>
  <si>
    <t>452100.07.01</t>
  </si>
  <si>
    <t>Развитие упр. учета в рамках концепции кайдзен: Моногр. / Ю.И.Сигидов-М.:НИЦ ИНФРА-М,2024-179с.(Науч.мысль)(о)</t>
  </si>
  <si>
    <t>РАЗВИТИЕ УПРАВЛЕНЧЕСКОГО УЧЕТА В РАМКАХ КОНЦЕПЦИИ КАЙДЗЕН</t>
  </si>
  <si>
    <t>978-5-16-011453-8</t>
  </si>
  <si>
    <t>38.03.01, 38.03.02, 38.03.03, 38.03.04, 38.03.06, 38.03.07, 38.04.01, 38.04.02, 38.04.03, 38.04.04, 38.04.06, 38.04.07, 38.04.08</t>
  </si>
  <si>
    <t>708220.04.01</t>
  </si>
  <si>
    <t>Развитие учета населения Рос. империи (XVIII—XIX в.): Моногр. / Н.Д.Борщик-М.:НИЦ ИНФРА-М,2023.-170с(О)</t>
  </si>
  <si>
    <t>РАЗВИТИЕ УЧЕТА НАСЕЛЕНИЯ РОССИЙСКОЙ ИМПЕРИИ (XVIII—XIX ВЕКА)</t>
  </si>
  <si>
    <t>Борщик Н.Д., Пархоменко А.А.</t>
  </si>
  <si>
    <t>978-5-16-015530-2</t>
  </si>
  <si>
    <t>439750.04.01</t>
  </si>
  <si>
    <t>Развитие фин.в жилищ.-коммунал.хоз.: Моногр. / Ряховская А.Н. - М.:Магистр,НИЦ ИНФРА-М,2019-256с.(П)</t>
  </si>
  <si>
    <t>РАЗВИТИЕ ФИНАНСИРОВАНИЯ В ЖИЛИЩНО-КОММУНАЛЬНОМ ХОЗЯЙСТВЕ</t>
  </si>
  <si>
    <t>Ряховская А. Н., Шрейбер А. К., Кириллова А. Н., Кован С. Е., Ряховская А. Н.</t>
  </si>
  <si>
    <t>978-5-9776-0271-6</t>
  </si>
  <si>
    <t>38.03.01, 38.03.04, 38.04.01, 38.04.04, 38.04.08, 44.03.05</t>
  </si>
  <si>
    <t>408750.13.01</t>
  </si>
  <si>
    <t>Развитие худ. умений и навыков у молодежи...: Моногр. / М.В.Кернерман - М.:НИЦ ИНФРА-М,2026. - 116 с.(О)</t>
  </si>
  <si>
    <t>РАЗВИТИЕ ХУДОЖЕСТВЕННЫХ УМЕНИЙ И НАВЫКОВ У МОЛОДЕЖИ В УЧРЕЖДЕНИЯХ КУЛЬТУРЫ</t>
  </si>
  <si>
    <t>Кернерман М. В.</t>
  </si>
  <si>
    <t>978-5-16-006409-3</t>
  </si>
  <si>
    <t>39.03.03, 39.04.03, 44.04.01, 51.03.03</t>
  </si>
  <si>
    <t>818957.01.01</t>
  </si>
  <si>
    <t>Развитие цифр. экономики с элементами бережливого...: Моногр. / А.Г.Ташкинов-М.:НИЦ ИНФРА-М,2024.-193 с(п)</t>
  </si>
  <si>
    <t>РАЗВИТИЕ ЦИФРОВОЙ ЭКОНОМИКИ С ЭЛЕМЕНТАМИ БЕРЕЖЛИВОГО ПРОИЗВОДСТВА НА ПРЕДПРИЯТИИ</t>
  </si>
  <si>
    <t>Ташкинов А.Г.</t>
  </si>
  <si>
    <t>978-5-16-019622-0</t>
  </si>
  <si>
    <t>38.03.01, 38.04.01, 38.04.02, 38.04.05, 38.06.01</t>
  </si>
  <si>
    <t>Пермский Национальный Исследовательский Политехнический Университет</t>
  </si>
  <si>
    <t>753341.02.01</t>
  </si>
  <si>
    <t>Развитие чел. ресурсов в цифр. эпоху:: Моногр. / Под ред. Забелиной О.В.-М.:НИЦ ИНФРА-М,2024.-253 с.(П)</t>
  </si>
  <si>
    <t>РАЗВИТИЕ ЧЕЛОВЕЧЕСКИХ РЕСУРСОВ В ЦИФРОВУЮ ЭПОХУ: СТРАТЕГИЧЕСКИЕ ВЫЗОВЫ, ПРОБЛЕМЫ И ВОЗМОЖНОСТИ</t>
  </si>
  <si>
    <t>Забелина О.В., Омельченко И.Б., Майорова А.В. и др.</t>
  </si>
  <si>
    <t>978-5-16-016840-1</t>
  </si>
  <si>
    <t>38.03.01, 38.03.03, 38.04.01, 38.04.02, 38.04.03, 38.06.01</t>
  </si>
  <si>
    <t>743882.02.01</t>
  </si>
  <si>
    <t>Развитие экологич. права на евразийском пространстве: Моногр. / С.А.Боголюбов-М.:НИЦ ИНФРА-М,2021.-432 с.(ИЗиСП)(П)</t>
  </si>
  <si>
    <t>РАЗВИТИЕ ЭКОЛОГИЧЕСКОГО ПРАВА НА ЕВРАЗИЙСКОМ ПРОСТРАНСТВЕ</t>
  </si>
  <si>
    <t>Боголюбов С.А.</t>
  </si>
  <si>
    <t>978-5-16-016477-9</t>
  </si>
  <si>
    <t>40.02.02, 40.04.01, 40.06.01</t>
  </si>
  <si>
    <t>786196.01.01</t>
  </si>
  <si>
    <t>Размерные эффекты в фазовых переходах и...: Моногр. / А.В.Шуба-М.:НИЦ ИНФРА-М,2023.-384 с.(П)</t>
  </si>
  <si>
    <t>РАЗМЕРНЫЕ ЭФФЕКТЫ В ФАЗОВЫХ ПЕРЕХОДАХ И ФИЗИЧЕСКИХ СВОЙСТВАХ ФЕРРОИКОВ</t>
  </si>
  <si>
    <t>Нечаев В.Н., Шуба А.В.</t>
  </si>
  <si>
    <t>978-5-16-017937-7</t>
  </si>
  <si>
    <t>03.03.01, 03.04.01, 03.04.02, 03.05.02, 03.06.01</t>
  </si>
  <si>
    <t>673761.04.01</t>
  </si>
  <si>
    <t>Размышления об эмпатическом познании: Моногр. / С.В.Бочкарёва - М.:НИЦ ИНФРА-М,2024 - 149 с.(Науч.мысль)(О)</t>
  </si>
  <si>
    <t>РАЗМЫШЛЕНИЯ ОБ ЭМПАТИЧЕСКОМ ПОЗНАНИИ</t>
  </si>
  <si>
    <t>Бочкарёва С.В.</t>
  </si>
  <si>
    <t>978-5-16-013590-8</t>
  </si>
  <si>
    <t>Гимназия № 19 г. Курган</t>
  </si>
  <si>
    <t>845026.01.01</t>
  </si>
  <si>
    <t>Разработка и использование низкоуглерод. технологич. схем.../ Б.С.Ксенофонтов - М.:НИЦ ИНФРА-М,2025. - 200 с.(п)</t>
  </si>
  <si>
    <t>РАЗРАБОТКА И ИСПОЛЬЗОВАНИЕ НИЗКОУГЛЕРОДНЫХ ТЕХНОЛОГИЧЕСКИХ СХЕМ ОЧИСТКИ СТОЧНЫХ ВОД</t>
  </si>
  <si>
    <t>978-5-16-020533-5</t>
  </si>
  <si>
    <t>800728.05.01</t>
  </si>
  <si>
    <t>Разрешительная деятельность в механизме гос. упр.: Моногр. / Л.В.Андриченко - М.:НИЦ ИНФРА-М,2026 - 600 с.(ИЗиСП)(п)</t>
  </si>
  <si>
    <t>РАЗРЕШИТЕЛЬНАЯ ДЕЯТЕЛЬНОСТЬ В МЕХАНИЗМЕ ГОСУДАРСТВЕННОГО УПРАВЛЕНИЯ</t>
  </si>
  <si>
    <t>Андриченко Л.В., Горенская Е.В., Емельянов А.С. и др.</t>
  </si>
  <si>
    <t>978-5-16-018299-5</t>
  </si>
  <si>
    <t>748153.01.01</t>
  </si>
  <si>
    <t>Разрушение угольных пластов при добыче выемочными машинами: Моногр. / Ю.Н.Линник-М.:НИЦ ИНФРА-М,2022.-319 с.(Науч.мысль)(О)</t>
  </si>
  <si>
    <t>РАЗРУШЕНИЕ УГОЛЬНЫХ ПЛАСТОВ ПРИ ДОБЫЧЕ ВЫЕМОЧНЫМИ МАШИНАМИ</t>
  </si>
  <si>
    <t>Линник Ю.Н., Линник В.Ю.</t>
  </si>
  <si>
    <t>978-5-16-016705-3</t>
  </si>
  <si>
    <t>634290.07.01</t>
  </si>
  <si>
    <t>Ракетно-космич. промышл. России...: Моногр. / Под ред. Эскиндарова М.А. - М.:НИЦ ИНФРА-М,2024 - 309 с.(O)</t>
  </si>
  <si>
    <t>РАКЕТНО-КОСМИЧЕСКАЯ ПРОМЫШЛЕННОСТЬ РОССИИ: ИНСТИТУЦИОНАЛЬНОЕ И ЭКОНОМИЧЕСКОЕ РАЗВИТИЕ</t>
  </si>
  <si>
    <t>Эскиндаров М.А., Комаров И.А.</t>
  </si>
  <si>
    <t>978-5-16-020052-1</t>
  </si>
  <si>
    <t>24.03.01, 24.03.02, 24.03.03, 24.03.05, 24.04.01, 24.04.02, 24.04.03, 24.04.05, 24.05.01</t>
  </si>
  <si>
    <t>853084.01.01</t>
  </si>
  <si>
    <t>Расследование преступ., связанных с фальсификацией... / Н.В.Кручинина - М.:Юр. НОРМА, НИЦ ИНФРА-М,2025 - 168 с.(п)</t>
  </si>
  <si>
    <t>РАССЛЕДОВАНИЕ ПРЕСТУПЛЕНИЙ, СВЯЗАННЫХ С ФАЛЬСИФИКАЦИЕЙ ДОКАЗАТЕЛЬСТВ</t>
  </si>
  <si>
    <t>Кручинина Н.В., Попов В.П.</t>
  </si>
  <si>
    <t>978-5-00156-428-7</t>
  </si>
  <si>
    <t>40.03.01, 40.04.01, 40.05.01, 40.05.02, 40.05.03, 40.05.04, 40.03.02</t>
  </si>
  <si>
    <t>359800.04.01</t>
  </si>
  <si>
    <t>Растительные сообщества Памира, их структура,динамика.../С.Сабоиев-НИЦ ИНФРА-М,2024-319с(Науч.мысль)</t>
  </si>
  <si>
    <t>РАСТИТЕЛЬНЫЕ СООБЩЕСТВА ПАМИРА, ИХ СТРУКТУРА, ДИНАМИКА И ПРОДУКТИВНОСТЬ</t>
  </si>
  <si>
    <t>Сабоиев С.</t>
  </si>
  <si>
    <t>978-5-16-010774-5</t>
  </si>
  <si>
    <t>05.03.02, 05.04.02, 06.03.01, 06.06.01, 44.03.01, 44.03.05</t>
  </si>
  <si>
    <t>719199.03.01</t>
  </si>
  <si>
    <t>Расчетные модели конструкционных строит. матер...: Моногр. / Й.Эберхардштайнер.-М.:НИЦ ИНФРА-М,2024.-320 с.(О)</t>
  </si>
  <si>
    <t>РАСЧЕТНЫЕ МОДЕЛИ КОНСТРУКЦИОННЫХ СТРОИТЕЛЬНЫХ МАТЕРИАЛОВ ПРИ МНОГООСНОМ НАПРЯЖЕНИИ</t>
  </si>
  <si>
    <t>Эберхардштайнер Й., Леонович С.Н., Доркин В.В. и др.</t>
  </si>
  <si>
    <t>978-5-16-016129-7</t>
  </si>
  <si>
    <t>15.04.01</t>
  </si>
  <si>
    <t>Венский технический университет</t>
  </si>
  <si>
    <t>406450.01.01</t>
  </si>
  <si>
    <t>Рафаил Самуилович Белкин. Воспоминание друзей, ученик.../Сост. Е.Р.Россинская - М.: Норма, 2013-192с (п)</t>
  </si>
  <si>
    <t>РАФАИЛ САМУИЛОВИЧ БЕЛКИН. ВОСПОМИНАНИЕ ДРУЗЕЙ, УЧЕНИКОВ И КОЛЛЕГ (К 90-ЛЕТИЮ СО ДНЯ РОЖДЕНИЯ)</t>
  </si>
  <si>
    <t>978-5-91768-339-3</t>
  </si>
  <si>
    <t>667702.02.01</t>
  </si>
  <si>
    <t>Рациональность как фундамент.характерист.соц.сис./ Д.О.Труфанов-М.:НИЦ ИНФРА-М,СФУ,2020-123с.(О)</t>
  </si>
  <si>
    <t>РАЦИОНАЛЬНОСТЬ КАК ФУНДАМЕНТАЛЬНАЯ ХАРАКТЕРИСТИКА СОЦИАЛЬНЫХ СИСТЕМ. ПОСТНЕКЛАССИЧЕСКИЙ (УНИВЕРСУМНЫЙ) ПОДХОД</t>
  </si>
  <si>
    <t>Труфанов Д.О.</t>
  </si>
  <si>
    <t>978-5-16-013254-9</t>
  </si>
  <si>
    <t>765723.03.01</t>
  </si>
  <si>
    <t>Реализация гос. экономич. политики в эпоху формир...: Моногр. / Е.В.Агамагомедова.-М.:НИЦ ИНФРА-М,2025-207с(О)</t>
  </si>
  <si>
    <t>РЕАЛИЗАЦИЯ ГОСУДАРСТВЕННОЙ ЭКОНОМИЧЕСКОЙ ПОЛИТИКИ В ЭПОХУ ФОРМИРОВАНИЯ НЕОИНДУСТРИАЛЬНОГО ОБЩЕСТВА</t>
  </si>
  <si>
    <t>Агамагомедова Е.В., Андросова И.В., Бабич Т.Н. и др.</t>
  </si>
  <si>
    <t>978-5-16-017248-4</t>
  </si>
  <si>
    <t>Белгородский государственный технологический университет им. В.Г. Шухова, Новороссийский ф-л</t>
  </si>
  <si>
    <t>757839.03.01</t>
  </si>
  <si>
    <t>Реализация Закона об ответственном обращении с животными.../ В.Р.Авхадеев - М.:НИЦ ИНФРА-М,2023 - 176 с.(О)</t>
  </si>
  <si>
    <t>РЕАЛИЗАЦИЯ ЗАКОНА ОБ ОТВЕТСТВЕННОМ ОБРАЩЕНИИ С ЖИВОТНЫМИ: ОТ КАЧЕСТВА НОРМ К ЭФФЕКТИВНОМУ ПРАВОПРИМЕНЕНИЮ</t>
  </si>
  <si>
    <t>Авхадеев В.Р., Биткова Л.А., Боголюбов C.А. и др.</t>
  </si>
  <si>
    <t>978-5-16-016948-4</t>
  </si>
  <si>
    <t>814110.01.01</t>
  </si>
  <si>
    <t>Реализация и защита прав граждан в сфере обороны и безоп. РФ: Моногр./ Ю.Г.Федотова-М.:ИНФРА-М,2024-568с.(п)</t>
  </si>
  <si>
    <t>РЕАЛИЗАЦИЯ И ЗАЩИТА ПРАВ ГРАЖДАН В СФЕРЕ ОБОРОНЫ И БЕЗОПАСНОСТИ РОССИЙСКОЙ ФЕДЕРАЦИИ</t>
  </si>
  <si>
    <t>978-5-16-019311-3</t>
  </si>
  <si>
    <t>186950.14.01</t>
  </si>
  <si>
    <t>Реализация молодежной политики в РФ: Моногр. / А.Я.Кибанов. - М.:НИЦ ИНФРА-М,2026 - 149 с.(Науч.мысль)(о)</t>
  </si>
  <si>
    <t>РЕАЛИЗАЦИЯ МОЛОДЕЖНОЙ ПОЛИТИКИ В РОССИЙСКОЙ ФЕДЕРАЦИИ</t>
  </si>
  <si>
    <t>Кибанов А.Я., Ловчева М.В., Лукьянова Т.В.</t>
  </si>
  <si>
    <t>978-5-16-005615-9</t>
  </si>
  <si>
    <t>38.03.01, 38.03.03, 38.04.03, 39.03.03, 41.03.06</t>
  </si>
  <si>
    <t>713312.05.01</t>
  </si>
  <si>
    <t>Реализация нац. интересов РФ в сотруд. со странами АТР: Моногр. / Под ред. Перской В.В.-М.:НИЦ ИНФРА-М,2024-187с.(О)</t>
  </si>
  <si>
    <t>РЕАЛИЗАЦИЯ НАЦИОНАЛЬНЫХ ИНТЕРЕСОВ РОССИЙСКОЙ ФЕДЕРАЦИИ В СОТРУДНИЧЕСТВЕ СО СТРАНАМИ АТР</t>
  </si>
  <si>
    <t>Абрамов В.Л., Алексеев П.В., Кузнецов А.В. и др.</t>
  </si>
  <si>
    <t>978-5-16-015462-6</t>
  </si>
  <si>
    <t>38.03.01, 38.04.01, 38.06.01, 41.06.01</t>
  </si>
  <si>
    <t>795916.01.01</t>
  </si>
  <si>
    <t>Реализация полномочий орг. дознания сис. МВД Рос... / И.А.Фадеев-М.:НИЦ ИНФРА-М,2023.-238 с.(о)</t>
  </si>
  <si>
    <t>РЕАЛИЗАЦИЯ ПОЛНОМОЧИЙ ОРГАНОВ ДОЗНАНИЯ СИСТЕМЫ МВД РОССИИ В УГОЛОВНОМ ПРОЦЕССЕ</t>
  </si>
  <si>
    <t>Фадеев И.А.</t>
  </si>
  <si>
    <t>978-5-16-018119-6</t>
  </si>
  <si>
    <t>10.05.04, 38.05.01, 38.05.02, 40.05.01, 40.05.03, 40.05.04, 40.06.01</t>
  </si>
  <si>
    <t>862175.01.01</t>
  </si>
  <si>
    <t>Реализация функции предварит. расслед. в угол. судопроизв./ -М.:Юр. НОРМА, НИЦ ИНФРА-М,2026-192 с.(п)</t>
  </si>
  <si>
    <t>РЕАЛИЗАЦИЯ ФУНКЦИИ ПРЕДВАРИТЕЛЬНОГО РАССЛЕДОВАНИЯ В УГОЛОВНОМ СУДОПРОИЗВОДСТВЕ</t>
  </si>
  <si>
    <t>Максимов О.А., Попов Д.П.</t>
  </si>
  <si>
    <t>978-5-00156-451-5</t>
  </si>
  <si>
    <t>463600.05.01</t>
  </si>
  <si>
    <t>Реализация эколог. политики посредством права: Моногр./ С.А.Боголюбов-М.:НИЦ ИНФРА-М,2020.-320 с.(ИЗиСП)(П)</t>
  </si>
  <si>
    <t>РЕАЛИЗАЦИЯ ЭКОЛОГИЧЕСКОЙ ПОЛИТИКИ ПОСРЕДСТВОМ ПРАВА</t>
  </si>
  <si>
    <t>978-5-16-011523-8</t>
  </si>
  <si>
    <t>657635.03.01</t>
  </si>
  <si>
    <t>Революция 1917 года в России и литература США: Моногр. / Б.А.Гиленсон-М.:НИЦ ИНФРА-М,2023-172с.(О)</t>
  </si>
  <si>
    <t>РЕВОЛЮЦИЯ 1917 ГОДА В РОССИИ И ЛИТЕРАТУРА США: ПРОБЛЕМЫ, УРОКИ, ИТОГИ</t>
  </si>
  <si>
    <t>978-5-16-012842-9</t>
  </si>
  <si>
    <t>823420.01.01</t>
  </si>
  <si>
    <t>Региональная интеграция в админ.-правовой доктрине и прак./ А.С.Емельянов-М.:НИЦ ИНФРА-М,2024.-264 с.(п)</t>
  </si>
  <si>
    <t>РЕГИОНАЛЬНАЯ ИНТЕГРАЦИЯ В АДМИНИСТРАТИВНО-ПРАВОВОЙ ДОКТРИНЕ И ПРАКТИКЕ</t>
  </si>
  <si>
    <t>Емельянов А.С., Ефремов А.А., Зырянов С.М. и др.</t>
  </si>
  <si>
    <t>978-5-16-019736-4</t>
  </si>
  <si>
    <t>633231.02.01</t>
  </si>
  <si>
    <t>Региональная сист.в усл. инновац. сценария...: Моногр./Л.Д.Киянова-М.:ИЦ РИОР,НИЦ ИНФРА-М,2020-179(о)</t>
  </si>
  <si>
    <t>РЕГИОНАЛЬНАЯ СИСТЕМА В УСЛОВИЯХ ИННОВАЦИОННОГО СЦЕНАРИЯ РАЗВИТИЯ</t>
  </si>
  <si>
    <t>Киянова Л.Д., Литвиненко И.Л.</t>
  </si>
  <si>
    <t>978-5-369-01637-4</t>
  </si>
  <si>
    <t>849708.02.01</t>
  </si>
  <si>
    <t>Региональная экономика: стратегические реш..: Моногр. / О.П.Иванова. - М.:НИЦ ИНФРА-М,2026. - 420 с.(п)</t>
  </si>
  <si>
    <t>РЕГИОНАЛЬНАЯ ЭКОНОМИКА: СТРАТЕГИЧЕСКИЕ РЕШЕНИЯ, РАЗВИТИЕ И УПРАВЛЕНИЕ</t>
  </si>
  <si>
    <t>Иванова О.П., Тумин В.М., Омаров М.М. и др.</t>
  </si>
  <si>
    <t>978-5-16-020736-0</t>
  </si>
  <si>
    <t>38.04.01, 38.04.04, 38.06.01</t>
  </si>
  <si>
    <t>632386.03.01</t>
  </si>
  <si>
    <t>Региональные технологические платформы...: Моногр. / В.В.Куимов-М.:НИЦ ИНФРА-М,2022.-343 с.(О)</t>
  </si>
  <si>
    <t>РЕГИОНАЛЬНЫЕ ТЕХНОЛОГИЧЕСКИЕ ПЛАТФОРМЫ - КАК ИНСТРУМЕНТ ИННОВАЦИОННОГО РАЗВИТИЯ ТЕРРИТОРИИ</t>
  </si>
  <si>
    <t>978-5-16-017083-1</t>
  </si>
  <si>
    <t>323600.04.01</t>
  </si>
  <si>
    <t>Регионы России: факторы устойчив. и институц..: Моногр. /А.А.Чуб -М.:ИЦ РИОР, НИЦ ИНФРА-М,2019-232с.</t>
  </si>
  <si>
    <t>РЕГИОНЫ РОССИИ: ФАКТОРЫ УСТОЙЧИВОСТИ И ИНСТИТУЦИОНАЛЬНЫЕ ПРЕДПОСЫЛКИ РАЗВИТИЯ В УСЛОВИЯХ ГЛОБАЛИЗАЦИИ</t>
  </si>
  <si>
    <t>Чуб А.А.</t>
  </si>
  <si>
    <t>978-5-369-01410-3</t>
  </si>
  <si>
    <t>38.03.01, 38.04.01, 38.04.04, 38.06.01, 44.03.01</t>
  </si>
  <si>
    <t>775997.01.01</t>
  </si>
  <si>
    <t>Регрессионный анализ динамических систем: Моногр. / А.П.Сарычев - М.:НИЦ ИНФРА-М,2022 - 229 с.(О)</t>
  </si>
  <si>
    <t>РЕГРЕССИОННЫЙ АНАЛИЗ ДИНАМИЧЕСКИХ СИСТЕМ</t>
  </si>
  <si>
    <t>Сарычев А.П.</t>
  </si>
  <si>
    <t>978-5-16-017656-7</t>
  </si>
  <si>
    <t>01.05.01, 02.04.01, 02.04.02, 02.04.03, 02.06.01, 09.04.03</t>
  </si>
  <si>
    <t>Институт технической механики НАН Украины</t>
  </si>
  <si>
    <t>747583.01.01</t>
  </si>
  <si>
    <t>Регулирование межд. торговли объектами интеллект....: Моногр. / Д.М. Солдатенко-Таллин: EurAsian Scientific Editions OÜ; М.: ИНФРА-М,2020-206(П)</t>
  </si>
  <si>
    <t>РЕГУЛИРОВАНИЕ МЕЖДУНАРОДНОЙ ТОРГОВЛИ ОБЪЕКТАМИ ИНТЕЛЛЕКТУАЛЬНОЙ СОБСТВЕННОСТИ В УСЛОВИЯХ ГЛОБАЛЬНОЙ ЭКОНОМИКИ</t>
  </si>
  <si>
    <t>Солдатенко Д.М.</t>
  </si>
  <si>
    <t>EurAsian Scientific Editions</t>
  </si>
  <si>
    <t>978-9949-7201-7-0</t>
  </si>
  <si>
    <t>38.03.01, 38.04.01, 38.05.01, 38.06.01, 41.04.05</t>
  </si>
  <si>
    <t>127400.06.01</t>
  </si>
  <si>
    <t>Регулирование мирового финансового рынка. Теория, практика, инструменты: монография / О.А.Гришина-М.:НИЦ ИНФРА-М,2018.-410 с..-(Науч.мысль)(Переплё</t>
  </si>
  <si>
    <t>РЕГУЛИРОВАНИЕ МИРОВОГО ФИНАНСОВОГО РЫНКА</t>
  </si>
  <si>
    <t>Гришина О.А., Звонова Е.А.</t>
  </si>
  <si>
    <t>978-5-16-009920-0</t>
  </si>
  <si>
    <t>38.03.01, 38.03.02, 38.04.01, 38.04.08, 38.06.01, 38.07.02, 44.03.01</t>
  </si>
  <si>
    <t>127400.09.01</t>
  </si>
  <si>
    <t>Регулирование мирового финансового рынка...: Моногр. / О.А.Гришина - 2 изд.-М.:НИЦ ИНФРА-М,2024-410 с.(П)</t>
  </si>
  <si>
    <t>РЕГУЛИРОВАНИЕ МИРОВОГО ФИНАНСОВОГО РЫНКА, ИЗД.2</t>
  </si>
  <si>
    <t>805080.03.01</t>
  </si>
  <si>
    <t>Регулирование новых форм занятости..: Моногр. / Под ред. Забелиной О.В. - М.:НИЦ ИНФРА-М,2025. - 325 с.(п)</t>
  </si>
  <si>
    <t>РЕГУЛИРОВАНИЕ НОВЫХ ФОРМ ЗАНЯТОСТИ: ТЕОРИЯ И ПРАКТИКА</t>
  </si>
  <si>
    <t>Забелина О.В., Мирзабалаева Ф.И., Пашкова С.Е. и др.</t>
  </si>
  <si>
    <t>978-5-16-018606-1</t>
  </si>
  <si>
    <t>38.04.01, 38.04.02, 38.04.03, 38.04.04, 38.06.01, 40.04.01, 40.06.01</t>
  </si>
  <si>
    <t>655196.03.01</t>
  </si>
  <si>
    <t>Режи Дебре и Латиноамериканская революция XX в.: Моногр. / М.С.Колесов-М.:НИЦ ИНФРА-М,2022.-257 с.(П)</t>
  </si>
  <si>
    <t>РЕЖИ ДЕБРЕ И ЛАТИНОАМЕРИКАНСКАЯ РЕВОЛЮЦИЯ XX ВЕКА</t>
  </si>
  <si>
    <t>978-5-16-012798-9</t>
  </si>
  <si>
    <t>44.03.01, 44.03.05, 46.03.01</t>
  </si>
  <si>
    <t>719157.01.01</t>
  </si>
  <si>
    <t>Режим запрещения ядерного оружия: пробл. формир..: Моногр./ Т.В.Вербицкая-М.:НИЦ ИНФРА-М,2020-164с.(Науч. мысль)(О)</t>
  </si>
  <si>
    <t>РЕЖИМ ЗАПРЕЩЕНИЯ ЯДЕРНОГО ОРУЖИЯ: ПРОБЛЕМЫ ФОРМИРОВАНИЯ И ВОЗМОЖНЫЕ ПУТИ ИХ РЕШЕНИЯ</t>
  </si>
  <si>
    <t>Вербицкая Т.В.</t>
  </si>
  <si>
    <t>978-5-16-015717-7</t>
  </si>
  <si>
    <t>726019.02.01</t>
  </si>
  <si>
    <t>Результативность и эффект. уголовно-исп. сис.: Моногр. / В.И.Терёхин - М.:НИЦ ИНФРА-М,2024 - 217 с.(О)</t>
  </si>
  <si>
    <t>РЕЗУЛЬТАТИВНОСТЬ И ЭФФЕКТИВНОСТЬ УГОЛОВНО-ИСПОЛНИТЕЛЬНОЙ СИСТЕМЫ: ОЦЕНИВАНИЕ И ПЛАНИРОВАНИЕ</t>
  </si>
  <si>
    <t>Терёхин В.И., Чернышов В.В.</t>
  </si>
  <si>
    <t>978-5-16-016055-9</t>
  </si>
  <si>
    <t>40.03.01, 40.04.01, 40.06.01, 56.04.08, 56.05.01</t>
  </si>
  <si>
    <t>636794.04.01</t>
  </si>
  <si>
    <t>Реинжиниринг процессов организации: Моногр. / Б.Н.Герасимов - М.:Вуз.уч.,НИЦ ИНФРА-М,2025 - 256 с.(О)</t>
  </si>
  <si>
    <t>РЕИНЖИНИРИНГ ПРОЦЕССОВ ОРГАНИЗАЦИИ</t>
  </si>
  <si>
    <t>Герасимов Б.Н.</t>
  </si>
  <si>
    <t>978-5-9558-0518-4</t>
  </si>
  <si>
    <t>27.03.02, 27.04.05, 38.03.02, 38.04.02, 38.04.03</t>
  </si>
  <si>
    <t>632123.06.01</t>
  </si>
  <si>
    <t>Рекламная коммуникация в сфере туризма: Моногр. / Л.М.Гончарова - М.:НИЦ ИНФРА-М,2025 - 158 с.(Науч.мысль)(П)</t>
  </si>
  <si>
    <t>РЕКЛАМНАЯ КОММУНИКАЦИЯ В СФЕРЕ ТУРИЗМА</t>
  </si>
  <si>
    <t>Гончарова Л.М.</t>
  </si>
  <si>
    <t>978-5-16-011969-4</t>
  </si>
  <si>
    <t>42.03.01, 42.04.01</t>
  </si>
  <si>
    <t>Государственный институт русского языка им. А.С. Пушкина</t>
  </si>
  <si>
    <t>717653.04.01</t>
  </si>
  <si>
    <t>Реконструктивная хирургия опериров. желудка: Моногр. / Д.В.Ручкин - М.:НИЦ ИНФРА-М,2025 - 194 с.(О)</t>
  </si>
  <si>
    <t>РЕКОНСТРУКТИВНАЯ ХИРУРГИЯ ОПЕРИРОВАННОГО ЖЕЛУДКА</t>
  </si>
  <si>
    <t>Ручкин Д.В., Козлов В.А.</t>
  </si>
  <si>
    <t>978-5-16-015584-5</t>
  </si>
  <si>
    <t>Национальный медицинский исследовательский центр хирургии имени А.В. Вишневского Минздрава России.</t>
  </si>
  <si>
    <t>409400.05.01</t>
  </si>
  <si>
    <t>Ректоры России: сист. и мех. проф..: Моногр. / С.Д.Резник-2изд.-М.:НИЦ ИНФРА-М,2023-232с(Науч.мысль)</t>
  </si>
  <si>
    <t>РЕКТОРЫ РОССИИ: СИСТЕМА И МЕХАНИЗМЫ ПРОФЕССИОНАЛЬНОГО СТАНОВЛЕНИЯ, ИЗД.2</t>
  </si>
  <si>
    <t>Резник С. Д., Сазыкина О. А., Фомин Г. Б., Резник С. Д.</t>
  </si>
  <si>
    <t>978-5-16-015268-4</t>
  </si>
  <si>
    <t>38.03.01, 38.03.02, 38.03.03, 38.04.02, 41.03.06, 44.03.01</t>
  </si>
  <si>
    <t>841422.01.01</t>
  </si>
  <si>
    <t>Религиозно-нравств. ценности в конституц... / А.М.Осавелюк - М.:Юр. НОРМА, НИЦ ИНФРА-М,2025. - 192 с.(п)</t>
  </si>
  <si>
    <t>РЕЛИГИОЗНО-НРАВСТВЕННЫЕ ЦЕННОСТИ В КОНСТИТУЦИОННОМ ПРОСТРАНСТВЕ РОССИИ</t>
  </si>
  <si>
    <t>Осавелюк А.М.</t>
  </si>
  <si>
    <t>978-5-00156-391-4</t>
  </si>
  <si>
    <t>40.04.01, 40.05.01, 40.05.02, 40.05.03, 40.05.04</t>
  </si>
  <si>
    <t>844760.01.01</t>
  </si>
  <si>
    <t>Религиозные орг. как субъекты граждан. права в России.: Моногр. / А.А.Максуров - М.:НИЦ ИНФРА-М,2025 - 153 с.(о)</t>
  </si>
  <si>
    <t>РЕЛИГИОЗНЫЕ ОРГАНИЗАЦИИ КАК СУБЪЕКТЫ ГРАЖДАНСКОГО ПРАВА В РОССИИ, ФРАНЦИИ И ИТАЛИИ</t>
  </si>
  <si>
    <t>978-5-16-020560-1</t>
  </si>
  <si>
    <t>40.04.01, 40.05.04, 40.06.01, 48.04.01</t>
  </si>
  <si>
    <t>466650.07.01</t>
  </si>
  <si>
    <t>Религиозные преступл.в Моисеевом угол.праве...: Моногр. / В.Г.Беспалько-М.:НИЦ ИНФРА-М,2024-231c.(о)</t>
  </si>
  <si>
    <t>РЕЛИГИОЗНЫЕ ПРЕСТУПЛЕНИЯ В МОИСЕЕВОМ УГОЛОВНОМ ПРАВЕ И ИХ ПРОЕКЦИИ В РОССИЙСКОМ ЗАКОНОДАТЕЛЬСТВЕ X-XXI ВВ</t>
  </si>
  <si>
    <t>Беспалько В. Г.</t>
  </si>
  <si>
    <t>978-5-16-009780-0</t>
  </si>
  <si>
    <t>Российская таможенная академия</t>
  </si>
  <si>
    <t>375700.06.01</t>
  </si>
  <si>
    <t>Религия в условиях совр. глобализац. процесса: Моногр. / Ю.А.Бабинов - М.:Вуз.уч.,НИЦ ИНФРА-М,2024-262с.(О)</t>
  </si>
  <si>
    <t>РЕЛИГИЯ В УСЛОВИЯХ СОВРЕМЕННОГО ГЛОБАЛИЗАЦИОННОГО ПРОЦЕССА</t>
  </si>
  <si>
    <t>Бабинов Ю.А.</t>
  </si>
  <si>
    <t>978-5-9558-0448-4</t>
  </si>
  <si>
    <t>37.03.01, 44.03.05, 47.03.01, 47.03.03, 47.04.01, 47.04.03, 48.03.01, 51.03.01, 51.04.01</t>
  </si>
  <si>
    <t>652302.04.01</t>
  </si>
  <si>
    <t>Реновация природных систем и ликвид. объектов..: Моногр. / В.М.Питулько-М.:НИЦ ИНФРА-М,2023-497с(П)</t>
  </si>
  <si>
    <t>РЕНОВАЦИЯ ПРИРОДНЫХ СИСТЕМ И ЛИКВИДАЦИЯ ОБЪЕКТОВ ПРОШЛОГО ЭКОЛОГИЧЕСКОГО УЩЕРБА</t>
  </si>
  <si>
    <t>Питулько В.М., Кулибаба В.В.</t>
  </si>
  <si>
    <t>978-5-16-012836-8</t>
  </si>
  <si>
    <t>05.03.06, 05.04.06, 20.03.01, 20.03.02, 20.04.01, 20.04.02</t>
  </si>
  <si>
    <t>Научно-исследовательский центр экологической безопасности Российской академии наук</t>
  </si>
  <si>
    <t>482550.08.01</t>
  </si>
  <si>
    <t>Реорганизация и ликвидация юр. лиц: Науч.-практ. комм. / А.В.Габов - ИНФРА-М,2025-XVI, 2025 - 203 с. (о)</t>
  </si>
  <si>
    <t>РЕОРГАНИЗАЦИЯ И ЛИКВИДАЦИЯ ЮРИДИЧЕСКИХ ЛИЦ</t>
  </si>
  <si>
    <t>Габов А. В.</t>
  </si>
  <si>
    <t>978-5-16-010466-9</t>
  </si>
  <si>
    <t>38.03.04, 40.02.04, 40.03.01, 40.04.01, 44.03.05, 46.03.02</t>
  </si>
  <si>
    <t>682628.06.01</t>
  </si>
  <si>
    <t>Репрезентация образа матери в рос. ментальности: Моногр. / Н.Н.Васягина - М.:НИЦ ИНФРА-М,2024 - 181с(О)</t>
  </si>
  <si>
    <t>РЕПРЕЗЕНТАЦИЯ ОБРАЗА МАТЕРИ В РОССИЙСКОЙ МЕНТАЛЬНОСТИ</t>
  </si>
  <si>
    <t>Васягина Н.Н., Газизова Ю.С.</t>
  </si>
  <si>
    <t>978-5-16-014062-9</t>
  </si>
  <si>
    <t>37.03.01, 44.03.02, 44.03.05, 44.04.02</t>
  </si>
  <si>
    <t>764301.01.01</t>
  </si>
  <si>
    <t>Репутационный менеджмент в рос. универ...: Моногр. / С.Д.Резник - 2 изд.-М.:НИЦ ИНФРА-М,2022-228с.(О)</t>
  </si>
  <si>
    <t>РЕПУТАЦИОННЫЙ МЕНЕДЖМЕНТ В РОССИЙСКОМ УНИВЕРСИТЕТЕ: ПРОБЛЕМЫ И РЕШЕНИЯ, ИЗД.2</t>
  </si>
  <si>
    <t>Резник С.Д., Юдина Т.А., Резник С.Д.</t>
  </si>
  <si>
    <t>978-5-16-017156-2</t>
  </si>
  <si>
    <t>38.03.01, 38.03.02, 38.03.03, 38.04.01, 38.04.02, 38.04.03, 38.06.01</t>
  </si>
  <si>
    <t>158450.17.01</t>
  </si>
  <si>
    <t>Ресурс и ремонтопригодность колесных пар..: Моногр. / Под ред. Иванова И.А. - М.:НИЦ ИНФРА-М,2025-264 с.(о)</t>
  </si>
  <si>
    <t>РЕСУРС И РЕМОНТОПРИГОДНОСТЬ КОЛЕСНЫХ ПАР ПОДВИЖНОГО СОСТАВА ЖЕЛЕЗНЫХ ДОРОГ</t>
  </si>
  <si>
    <t>Воробьев А.А., Губенко С.И., Иванов И.А. и др.</t>
  </si>
  <si>
    <t>978-5-16-005039-3</t>
  </si>
  <si>
    <t>Тамбовский государственный технический университет</t>
  </si>
  <si>
    <t>725338.02.01</t>
  </si>
  <si>
    <t>Ресурсосберегающие плазменные технологии при...:Моногр. / И.Н.Кравченко.-М.:НИЦ ИНФРА-М,2021.-200 с.(О)</t>
  </si>
  <si>
    <t>РЕСУРСОСБЕРЕГАЮЩИЕ ПЛАЗМЕННЫЕ ТЕХНОЛОГИИ ПРИ РЕМОНТЕ ПЕРЕРАБАТЫВАЮЩЕГО ОБОРУДОВАНИЯ</t>
  </si>
  <si>
    <t>Кравченко И.Н., Глинский М.А., Карцев С.В. и др.</t>
  </si>
  <si>
    <t>978-5-16-016135-8</t>
  </si>
  <si>
    <t>15.06.01, 35.04.06, 35.06.01</t>
  </si>
  <si>
    <t>652449.03.01</t>
  </si>
  <si>
    <t>Ретроэкономикс, или Закономерности...: Моногр. / В.С.Гродский - М.:ИЦ РИОР, НИЦ ИНФРА-М,2022 - 208 с.(О)</t>
  </si>
  <si>
    <t>РЕТРОЭКОНОМИКС, ИЛИ ЗАКОНОМЕРНОСТИ ИСТОРИИ МИРОВОЙ ЭКОНОМИЧЕСКОЙ МЫСЛИ</t>
  </si>
  <si>
    <t>978-5-369-01656-5</t>
  </si>
  <si>
    <t>02.03.03, 27.04.05, 38.03.01</t>
  </si>
  <si>
    <t>800426.01.01</t>
  </si>
  <si>
    <t>Рефинансирование торг. кредитов - технологии и..: Моногр. / Покаместов И.Е.-М.:НИЦ ИНФРА-М,2024-143с(о)</t>
  </si>
  <si>
    <t>РЕФИНАНСИРОВАНИЕ ТОРГОВЫХ КРЕДИТОВ - ТЕХНОЛОГИИ И ФИНАНСОВЫЕ МОДЕЛИ</t>
  </si>
  <si>
    <t>Покаместов И.Е., Гамиловская А.А., Леднев М.В. и др.</t>
  </si>
  <si>
    <t>978-5-16-019912-2</t>
  </si>
  <si>
    <t>38.04.06, 38.04.08, 38.05.01, 38.06.01</t>
  </si>
  <si>
    <t>666949.05.01</t>
  </si>
  <si>
    <t>Рефлексивная педагогика вуза: Моногр. / Ю.Д.Красовский - М.:НИЦ ИНФРА-М,2024. - 190 с.(Науч.мысль)(П)</t>
  </si>
  <si>
    <t>РЕФЛЕКСИВНАЯ ПЕДАГОГИКА ВУЗА</t>
  </si>
  <si>
    <t>Красовский Ю.Д.</t>
  </si>
  <si>
    <t>978-5-16-013275-4</t>
  </si>
  <si>
    <t>11.04.02, 44.05.01</t>
  </si>
  <si>
    <t>838147.01.01</t>
  </si>
  <si>
    <t>Реформа образ. в России и ее результаты: Моногр. / Н.А.Сальков - М.:НИЦ ИНФРА-М,2025. - 230 с.(Науч.мысль)(п)</t>
  </si>
  <si>
    <t>РЕФОРМА ОБРАЗОВАНИЯ В РОССИИ И ЕЕ РЕЗУЛЬТАТЫ</t>
  </si>
  <si>
    <t>978-5-16-020448-2</t>
  </si>
  <si>
    <t>767425.03.01</t>
  </si>
  <si>
    <t>Реформа орг. публич. власти: основные напр...: Моногр./Л.В.Андриченко.-М.:Юр.Норма, НИЦ ИНФРА-М,2023.-200 с.(П)</t>
  </si>
  <si>
    <t>РЕФОРМА ОРГАНИЗАЦИИ ПУБЛИЧНОЙ ВЛАСТИ: ОСНОВНЫЕ НАПРАВЛЕНИЯ РЕАЛИЗАЦИИ</t>
  </si>
  <si>
    <t>Андриченко Л.В., Постников А.Е., Васильева Л. и др.</t>
  </si>
  <si>
    <t>978-5-00156-209-2</t>
  </si>
  <si>
    <t>799031.01.01</t>
  </si>
  <si>
    <t>Реформаторы, нонконформисты, диссиденты в США (XVII - XIX вв.): Моногр. / Т.В.Алентьева-М.:НИЦ ИНФРА-М,2024-412 с.(п)</t>
  </si>
  <si>
    <t>РЕФОРМАТОРЫ, НОНКОНФОРМИСТЫ, ДИССИДЕНТЫ В США (XVII - XIX ВВ.)</t>
  </si>
  <si>
    <t>Алентьева Т.В., Филимонова М.А.</t>
  </si>
  <si>
    <t>978-5-16-018262-9</t>
  </si>
  <si>
    <t>41.04.01, 41.04.04, 41.06.01, 41.07.01</t>
  </si>
  <si>
    <t>276100.08.01</t>
  </si>
  <si>
    <t>Реформирование высш.образ.на основе замещения...: Моногр./В.И.Подлесных-М.:НИЦ ИНФРА-М,2024-188с.(о)</t>
  </si>
  <si>
    <t>РЕФОРМИРОВАНИЕ ВЫСШЕГО ОБРАЗОВАНИЯ НА ОСНОВЕ ЗАМЕЩЕНИЯ ТЕХНОЛОГИЧЕСКОГО УКЛАДА (НОВЫЕ ПОДХОДЫ И МЕТОДЫ)</t>
  </si>
  <si>
    <t>Подлесных В. И.</t>
  </si>
  <si>
    <t>978-5-16-009731-2</t>
  </si>
  <si>
    <t>38.04.01, 38.04.02, 44.03.05</t>
  </si>
  <si>
    <t>817786.01.01</t>
  </si>
  <si>
    <t>Речные наносы и почвенная эрозия: методы и модели: Моногр. / М.В.Шмакова-М.:НИЦ ИНФРА-М,2024.-292 с.(п)</t>
  </si>
  <si>
    <t>РЕЧНЫЕ НАНОСЫ И ПОЧВЕННАЯ ЭРОЗИЯ: МЕТОДЫ И МОДЕЛИ</t>
  </si>
  <si>
    <t>Шмакова М.В.</t>
  </si>
  <si>
    <t>978-5-16-019497-4</t>
  </si>
  <si>
    <t>05.03.04, 05.04.04, 05.04.05, 05.06.01</t>
  </si>
  <si>
    <t>СПИИРАН</t>
  </si>
  <si>
    <t>124800.08.01</t>
  </si>
  <si>
    <t>Решения в уголовном судопроизвод. теория... / П.А.Лупинская - 3изд. - М.:Юр.Норма, НИЦ ИНФРА-М,2025-240с(П)</t>
  </si>
  <si>
    <t>РЕШЕНИЯ В УГОЛОВНОМ СУДОПРОИЗВОДСТВЕ, ИЗД.3</t>
  </si>
  <si>
    <t>Лупинская П. А.</t>
  </si>
  <si>
    <t>978-5-91768-581-6</t>
  </si>
  <si>
    <t>40.04.01, 40.05.01, 40.05.02, 40.05.03, 40.06.01</t>
  </si>
  <si>
    <t>0315</t>
  </si>
  <si>
    <t>132150.09.01</t>
  </si>
  <si>
    <t>Риски организации и внутренний эконом.контроль: Моногр. /Т.Ю.Серебрякова-М.:НИЦ ИНФРА-М,2024-111с(О)</t>
  </si>
  <si>
    <t>РИСКИ ОРГАНИЗАЦИИ И ВНУТРЕННИЙ ЭКОНОМИЧЕСКИЙ КОНТРОЛЬ</t>
  </si>
  <si>
    <t>Серебрякова Т. Ю.</t>
  </si>
  <si>
    <t>978-5-16-004364-7</t>
  </si>
  <si>
    <t>27.04.07, 38.03.01, 38.03.02, 38.03.03, 38.03.06, 38.03.07, 38.04.01, 38.04.02, 38.04.06, 38.04.07, 38.04.08, 38.04.09, 38.05.01, 38.05.02</t>
  </si>
  <si>
    <t>Российский университет кооперации, Чебоксарский ф-л</t>
  </si>
  <si>
    <t>698148.03.01</t>
  </si>
  <si>
    <t>Риски организации: их учет, анализ и контроль: Моногр. / Т.Ю.Серебрякова-М.:НИЦ ИНФРА-М,2020-233с(О)</t>
  </si>
  <si>
    <t>РИСКИ ОРГАНИЗАЦИИ: ИХ УЧЕТ, АНАЛИЗ И КОНТРОЛЬ</t>
  </si>
  <si>
    <t>Серебрякова Т.Ю., Гордеева О.Г.</t>
  </si>
  <si>
    <t>978-5-16-014777-2</t>
  </si>
  <si>
    <t>732494.01.01</t>
  </si>
  <si>
    <t>Риски социальной адаптации военнослужащих, уволенных в запас... / П.В.Разов.-М.:ИНФРА-М,2020-254с(О)</t>
  </si>
  <si>
    <t>РИСКИ СОЦИАЛЬНОЙ АДАПТАЦИИ ВОЕННОСЛУЖАЩИХ, УВОЛЕННЫХ В ЗАПАС, К УСЛОВИЯМ ГРАЖДАНСКОЙ ЖИЗНИ В РОССИИ И СТРАТЕГИИ ИХ ПРЕОДОЛЕНИЯ</t>
  </si>
  <si>
    <t>Разов П.В., Евенко С.Л.</t>
  </si>
  <si>
    <t>978-5-16-016044-3</t>
  </si>
  <si>
    <t>39.03.01, 39.04.01, 39.06.01</t>
  </si>
  <si>
    <t>713207.01.01</t>
  </si>
  <si>
    <t>Риск-менеджмент в строительстве: Моногр. / О.Е.Астафьева.-М.:НИЦ ИНФРА-М,2022.-183 с.(Науч.мысль)(О)</t>
  </si>
  <si>
    <t>РИСК-МЕНЕДЖМЕНТ В СТРОИТЕЛЬСТВЕ</t>
  </si>
  <si>
    <t>Астафьева О.Е., Моисеенко Н.А., Козловский А.В. и др.</t>
  </si>
  <si>
    <t>978-5-16-017320-7</t>
  </si>
  <si>
    <t>08.04.01, 08.06.01, 38.04.02, 38.06.01</t>
  </si>
  <si>
    <t>828407.02.01</t>
  </si>
  <si>
    <t>Розыскная работа подразделений угол. розыска: Моногр. / Р.В.Глубоковских - М.:НИЦ ИНФРА-М,2025. - 206 с.(п)</t>
  </si>
  <si>
    <t>РОЗЫСКНАЯ РАБОТА ПОДРАЗДЕЛЕНИЙ УГОЛОВНОГО РОЗЫСКА (СИТУАЦИОННЫЙ ПОДХОД)</t>
  </si>
  <si>
    <t>Глубоковских Р.В.</t>
  </si>
  <si>
    <t>978-5-16-019966-5</t>
  </si>
  <si>
    <t>Санкт-Петербургский университет Министерства внутренних дел  России, Калининградский ф-л</t>
  </si>
  <si>
    <t>236400.06.01</t>
  </si>
  <si>
    <t>Роль гос. программ в развитии моногородов: Моногр. /А.Н.Ряховская-М.:Магистр, НИЦ ИНФРА-М,2024-272 с.(п)</t>
  </si>
  <si>
    <t>РОЛЬ ГОСУДАРСТВЕННЫХ ПРОГРАММ В РАЗВИТИИ МОНОГОРОДОВ</t>
  </si>
  <si>
    <t>Ряховская А. Н., Кован С. Е., Крюкова О. Г., Ряховская А. Н.</t>
  </si>
  <si>
    <t>978-5-9776-0289-1</t>
  </si>
  <si>
    <t>38.03.01, 38.03.02, 38.03.04, 38.04.01, 38.04.02, 38.04.04, 41.03.06</t>
  </si>
  <si>
    <t>473600.04.01</t>
  </si>
  <si>
    <t>Роль и значение идеол. для гос. и права: Моногр./ А.Г.Чернявский, -2 изд.,-М.:НИЦ ИНФРА-М,2023-302 с.(Науч.мысль)(П)</t>
  </si>
  <si>
    <t>РОЛЬ И ЗНАЧЕНИЕ ИДЕОЛОГИИ ДЛЯ ГОСУДАРСТВА И ПРАВА, ИЗД.2</t>
  </si>
  <si>
    <t>978-5-16-015491-6</t>
  </si>
  <si>
    <t>38.03.04, 38.04.04, 40.03.01, 41.03.01, 44.03.05, 46.03.02, 46.04.02</t>
  </si>
  <si>
    <t>473600.02.01</t>
  </si>
  <si>
    <t>Роль и значение идеол.для гос.и права:Моногр./А.Г.Чернявский-М.:НИЦ ИНФРА-М,2018-287с(Науч.мысль)(п)</t>
  </si>
  <si>
    <t>РОЛЬ И ЗНАЧЕНИЕ ИДЕОЛОГИИ ДЛЯ ГОСУДАРСТВА И ПРАВА</t>
  </si>
  <si>
    <t>978-5-16-011615-0</t>
  </si>
  <si>
    <t>707434.02.01</t>
  </si>
  <si>
    <t>Роль и место общей полиц. в сис. местного упр...: Моногр. / И.А.Коновалов-М.:НИЦ ИНФРА-М,2022.-311 с.(О)</t>
  </si>
  <si>
    <t>РОЛЬ И МЕСТО ОБЩЕЙ ПОЛИЦИИ В СИСТЕМЕ МЕСТНОГО УПРАВЛЕНИЯ СИБИРИ (XVIII - НАЧАЛО ХХ ВЕКА)</t>
  </si>
  <si>
    <t>Коновалов И.А.</t>
  </si>
  <si>
    <t>978-5-16-016223-2</t>
  </si>
  <si>
    <t>834828.01.01</t>
  </si>
  <si>
    <t>Роль муниципального контроля в развитиию...: Моногр./ С.В.Нарутто-М.:Юр. НОРМА, НИЦ ИНФРА-М,2024-204 с.(п)</t>
  </si>
  <si>
    <t>РОЛЬ МУНИЦИПАЛЬНОГО КОНТРОЛЯ В РАЗВИТИИ КОМФОРТНОЙ ГОРОДСКОЙ СРЕДЫ</t>
  </si>
  <si>
    <t>Нарутто С.В., Ряшин М.П.</t>
  </si>
  <si>
    <t>978-5-00156-382-2</t>
  </si>
  <si>
    <t>38.04.04, 38.04.10, 40.03.01, 40.04.01, 40.06.01</t>
  </si>
  <si>
    <t>694972.02.01</t>
  </si>
  <si>
    <t>Роль общественного мнения в «джексоновскую эпоху» в США: Моногр. / Т.В.Алентьева - 2 изд.-М.:НИЦ ИНФРА-М,2023-356с(П)</t>
  </si>
  <si>
    <t>РОЛЬ ОБЩЕСТВЕННОГО МНЕНИЯ В «ДЖЕКСОНОВСКУЮ ЭПОХУ» В США, ИЗД.2</t>
  </si>
  <si>
    <t>978-5-16-014690-4</t>
  </si>
  <si>
    <t>41.04.01, 41.04.04, 41.06.01, 46.04.01, 46.06.01</t>
  </si>
  <si>
    <t>147950.16.01</t>
  </si>
  <si>
    <t>Роль отца в психич. развитии ребенка: Моногр. / О.Г.Калина, - 2 изд. - М.:НИЦ ИНФРА-М,2026.- 112 с.(о)</t>
  </si>
  <si>
    <t>РОЛЬ ОТЦА В ПСИХИЧЕСКОМ РАЗВИТИИ РЕБЕНКА, ИЗД.2</t>
  </si>
  <si>
    <t>Калина О. Г., Холмогорова А. Б.</t>
  </si>
  <si>
    <t>978-5-16-021110-7</t>
  </si>
  <si>
    <t>684336.04.01</t>
  </si>
  <si>
    <t>Роман Г.Д. Гребенщикова «Чураевы»  социокульт.: Моногр./ С.С.Царегородцева-М.:НИЦ ИНФРА-М,2024-127 с.(О)</t>
  </si>
  <si>
    <t>РОМАН Г.Д. ГРЕБЕНЩИКОВА «ЧУРАЕВЫ»  СОЦИОКУЛЬТУРНОМ КОНТЕКСТЕ ЭПОХИ</t>
  </si>
  <si>
    <t>Царегородцева С.С.</t>
  </si>
  <si>
    <t>978-5-16-016031-3</t>
  </si>
  <si>
    <t>42.03.02, 45.03.01, 45.04.01</t>
  </si>
  <si>
    <t>632777.09.01</t>
  </si>
  <si>
    <t>Роман Э.Хемингуэя "По ком звонит колокол".: Моногр. / Б.А.Гиленсон - М.:НИЦ ИНФРА-М,2025 - 195 с.(О)</t>
  </si>
  <si>
    <t>РОМАН Э.ХЕМИНГУЭЯ "ПО КОМ ЗВОНИТ КОЛОКОЛ". ИСТОРИЯ И СОВРЕМЕННОСТЬ</t>
  </si>
  <si>
    <t>978-5-16-016884-5</t>
  </si>
  <si>
    <t>45.00.00, 41.03.06, 42.03.02, 42.03.03, 42.03.04, 45.03.01, 52.03.04, 52.03.05</t>
  </si>
  <si>
    <t>652104.05.01</t>
  </si>
  <si>
    <t>Романские языки в Тропической Африке и ..: Моногр. / О.А.Сапрыкина - М.:НИЦ ИНФРА-М,2024 - 106 с.(О)</t>
  </si>
  <si>
    <t>РОМАНСКИЕ ЯЗЫКИ В ТРОПИЧЕСКОЙ АФРИКЕ И ПОСТКОЛОНИАЛЬНЫЙ ХУДОЖЕСТВЕННЫЙ ДИСКУРС</t>
  </si>
  <si>
    <t>Сапрыкина О.А., Найденова Н.С.</t>
  </si>
  <si>
    <t>978-5-16-012638-8</t>
  </si>
  <si>
    <t>45.03.03</t>
  </si>
  <si>
    <t>845815.04.01</t>
  </si>
  <si>
    <t>Российская геральдика: Науч.-поп. изд. / А.А.Корников - М.:НИЦ ИНФРА-М,2025. - 196 с.:цв.ил.[16+](п)</t>
  </si>
  <si>
    <t>РОССИЙСКАЯ ГЕРАЛЬДИКА</t>
  </si>
  <si>
    <t>Корников А.А.</t>
  </si>
  <si>
    <t>978-5-16-020486-4</t>
  </si>
  <si>
    <t>46.03.01, 46.03.02</t>
  </si>
  <si>
    <t>717861.05.01</t>
  </si>
  <si>
    <t>Российская журналистика сегодня...: Моногр. / Под ред. Фотиевой И.В. - М.:НИЦ ИНФРА-М,2024 - 256 с..(О)</t>
  </si>
  <si>
    <t>РОССИЙСКАЯ ЖУРНАЛИСТИКА СЕГОДНЯ: СОЦИАЛЬНАЯ МИССИЯ И ПРОФЕССИОНАЛЬНОЕ МАСТЕРСТВО</t>
  </si>
  <si>
    <t>Фотиева И.В., Семилет Т.А., Лукашевич Е.В. и др.</t>
  </si>
  <si>
    <t>978-5-16-015637-8</t>
  </si>
  <si>
    <t>41.00.00, 41.03.06, 42.03.02, 42.03.04, 42.04.02, 42.04.04, 42.04.05</t>
  </si>
  <si>
    <t>126800.08.01</t>
  </si>
  <si>
    <t>Российская правовая система...: Моногр. / В.Н.Синюков - 2изд.-М.:Юр.Норма,НИЦ ИНФРА-М,2021-672с.(п)</t>
  </si>
  <si>
    <t>РОССИЙСКАЯ ПРАВОВАЯ СИСТЕМА. ВВЕДЕНИЕ В ОБЩУЮ ТЕОРИЮ, ИЗД.2</t>
  </si>
  <si>
    <t>Синюков В. Н.</t>
  </si>
  <si>
    <t>978-5-91768-079-8</t>
  </si>
  <si>
    <t>0210</t>
  </si>
  <si>
    <t>433550.05.01</t>
  </si>
  <si>
    <t>Российская социально-эконом. Система реал..: Моногр. / П.В.Савченко,-2изд.-М.:НИЦ ИНФРА-М,2018-460с.</t>
  </si>
  <si>
    <t>РОССИЙСКАЯ СОЦИАЛЬНО-ЭКОНОМИЧЕСКАЯ СИСТЕМА: РЕАЛИИ И ВЕКТОРЫ РАЗВИТИЯ, ИЗД.2</t>
  </si>
  <si>
    <t>Савченко П.В., Гринберг Р.С.</t>
  </si>
  <si>
    <t>978-5-16-011842-0</t>
  </si>
  <si>
    <t>38.03.01, 38.03.02, 38.04.01, 38.04.02, 41.03.06, 44.03.01</t>
  </si>
  <si>
    <t>433550.07.01</t>
  </si>
  <si>
    <t>Российская социально-эконом. система: реал..: Моногр. / П.В.Савченко,-3изд.-М.:НИЦ ИНФРА-М,2019-598с.</t>
  </si>
  <si>
    <t>РОССИЙСКАЯ СОЦИАЛЬНО-ЭКОНОМИЧЕСКАЯ СИСТЕМА: РЕАЛИИ И ВЕКТОРЫ РАЗВИТИЯ, ИЗД.3</t>
  </si>
  <si>
    <t>978-5-16-013990-6</t>
  </si>
  <si>
    <t>433550.10.01</t>
  </si>
  <si>
    <t>Российская социально-эконом. система: реал..: Моногр. / П.В.Савченко,-4изд.-М.:НИЦ ИНФРА-М,2024-596с.</t>
  </si>
  <si>
    <t>РОССИЙСКАЯ СОЦИАЛЬНО-ЭКОНОМИЧЕСКАЯ СИСТЕМА: РЕАЛИИ И ВЕКТОРЫ РАЗВИТИЯ, ИЗД.4</t>
  </si>
  <si>
    <t>Гринберг Р.С., Гринберг Р.С., Савченко П.В.</t>
  </si>
  <si>
    <t>978-5-16-016215-7</t>
  </si>
  <si>
    <t>0421</t>
  </si>
  <si>
    <t>657148.05.01</t>
  </si>
  <si>
    <t>Российская экономика за 30 лет-путь от преобр. к разоч.: Моногр. / А.В.Вакурин - М.:НИЦ ИНФРА-М,2022-214с(П)</t>
  </si>
  <si>
    <t>РОССИЙСКАЯ ЭКОНОМИКА ЗА 30 ЛЕТ - ПУТЬ ОТ ПРЕОБРАЗОВАНИЙ К РАЗОЧАРОВАНИЯМ</t>
  </si>
  <si>
    <t>Вакурин А.В., Ковнир В.Н.</t>
  </si>
  <si>
    <t>978-5-16-017030-5</t>
  </si>
  <si>
    <t>38.04.01, 38.04.02, 38.04.08</t>
  </si>
  <si>
    <t>Московский международный университет</t>
  </si>
  <si>
    <t>451350.05.01</t>
  </si>
  <si>
    <t>Российские нормы взимания НДС в свете заруб...: Моногр./К.К.Семкин - Магистр: ИНФРА-М, 2023-160с. (о)</t>
  </si>
  <si>
    <t>РОССИЙСКИЕ НОРМЫ ВЗИМАНИЯ НДС В СВЕТЕ ЗАРУБЕЖНОГО ЗАКОНОДАТЕЛЬСТВА</t>
  </si>
  <si>
    <t>978-5-9776-0290-7</t>
  </si>
  <si>
    <t>38.03.01, 38.03.04, 38.04.04, 38.04.08, 40.03.01, 44.03.01, 44.03.05</t>
  </si>
  <si>
    <t>252000.11.01</t>
  </si>
  <si>
    <t>Российские судьи: соц. исслед. профессии: Моногр./ В.В.Волков - М.:Юр.Норма, НИЦ ИНФРА-М,2024-272с(О)</t>
  </si>
  <si>
    <t>РОССИЙСКИЕ СУДЬИ: СОЦИОЛОГИЧЕСКОЕ ИССЛЕДОВАНИЕ ПРОФЕССИИ</t>
  </si>
  <si>
    <t>Волков В.В., Дмитриева А., Титаев К.Д.</t>
  </si>
  <si>
    <t>978-5-91768-721-6</t>
  </si>
  <si>
    <t>39.03.01, 40.03.01, 40.04.01, 40.05.02</t>
  </si>
  <si>
    <t>404600.13.01</t>
  </si>
  <si>
    <t>Российский железнодорож.комплекс...: Моногр. /Ю.А.Харламова -М.:НИЦ ИНФРА-М,2024-182с(Науч.мысль)(О)</t>
  </si>
  <si>
    <t>РОССИЙСКИЙ ЖЕЛЕЗНОДОРОЖНЫЙ КОМПЛЕКС: ПОЛИТИЧЕСКИЙ АНАЛИЗ</t>
  </si>
  <si>
    <t>978-5-16-005799-6</t>
  </si>
  <si>
    <t>23.03.02, 23.05.04, 40.03.01, 41.03.02, 41.03.04, 41.04.04, 44.03.01, 44.03.05, 46.03.01, 46.04.01</t>
  </si>
  <si>
    <t>837256.01.01</t>
  </si>
  <si>
    <t>Российский метаэтнич. менталитет в аспекте...: Моногр. / А.А.Лагунов - М.:НИЦ ИНФРА-М,2025 -189 с.(п)</t>
  </si>
  <si>
    <t>РОССИЙСКИЙ МЕТАЭТНИЧЕСКИЙ МЕНТАЛИТЕТ В АСПЕКТЕ ФИЛОСОФСКОГО ПЕРСОНАЛИЗМА</t>
  </si>
  <si>
    <t>Лагунов А.А., Ющенко В.Н.</t>
  </si>
  <si>
    <t>978-5-16-020219-8</t>
  </si>
  <si>
    <t>41.04.02, 41.06.01, 46.06.01, 47.06.01</t>
  </si>
  <si>
    <t>673958.04.01</t>
  </si>
  <si>
    <t>Российский опыт взаимодействия усилий гос...: Моногр. / Н.К.Мартыненко — М. : ИНФРА-М, 2019.-320с(П)</t>
  </si>
  <si>
    <t>РОССИЙСКИЙ ОПЫТ ВЗАИМОДЕЙСТВИЯ УСИЛИЙ ГОСУДАРСТВА И ОБЩЕСТВА В УПРЕЖДЕНИИ СОЦИАЛЬНЫХ ДЕВИАЦИЙ (КОНЕЦ XIX - НАЧАЛО XX ВЕКА)</t>
  </si>
  <si>
    <t>Мартыненко Н.К.</t>
  </si>
  <si>
    <t>978-5-16-013755-1</t>
  </si>
  <si>
    <t>633836.04.01</t>
  </si>
  <si>
    <t>Российский политический консалтинг..: Моногр. / Л.В.Федорченко-М.:НИЦ ИНФРА-М,2022-166с.(Науч.мысль) (П)</t>
  </si>
  <si>
    <t>РОССИЙСКИЙ ПОЛИТИЧЕСКИЙ КОНСАЛТИНГ: КОНСЬЮМЕРИЗАЦИЯ И ТЕХНОЛОГИИ</t>
  </si>
  <si>
    <t>Федорченко Л.В., Федорченко С.Н.</t>
  </si>
  <si>
    <t>978-5-16-012082-9</t>
  </si>
  <si>
    <t>41.00.00, 41.03.04</t>
  </si>
  <si>
    <t>638290.09.01</t>
  </si>
  <si>
    <t>Российский следователь: призвание, проф...: Моногр. / К.Д.Титаев-М.:Юр. НОРМА, НИЦ ИНФРА-М,2025.-192 с.(о)</t>
  </si>
  <si>
    <t>РОССИЙСКИЙ СЛЕДОВАТЕЛЬ: ПРИЗВАНИЕ, ПРОФЕССИЯ, ПОВСЕДНЕВНОСТЬ</t>
  </si>
  <si>
    <t>Титаев К.Д., Шклярук М.С.</t>
  </si>
  <si>
    <t>978-5-91768-847-3</t>
  </si>
  <si>
    <t>653231.09.01</t>
  </si>
  <si>
    <t>Россия - Запад: цивилизационная война: Моногр. / В.Э.Багдасарян - М.:Форум, НИЦ ИНФРА-М,2026 - 410 с.(п)</t>
  </si>
  <si>
    <t>РОССИЯ - ЗАПАД: ЦИВИЛИЗАЦИОННАЯ ВОЙНА</t>
  </si>
  <si>
    <t>978-5-00091-442-7</t>
  </si>
  <si>
    <t>317400.06.01</t>
  </si>
  <si>
    <t>Россия в Евразийском эконом.союзе и Всем..:Моногр./А.А.Каширкина-НИЦ ИНФРА-М,ИЗиСП,2019-295(ИЗиСП)</t>
  </si>
  <si>
    <t>РОССИЯ, ЕВРАЗИЙСКИЙ ЭКОНОМИЧЕСКИЙ СОЮЗ И ВСЕМИРНАЯ ТОРГОВАЯ ОРГАНИЗАЦИЯ</t>
  </si>
  <si>
    <t>Каширкина А.А., Морозов А.Н.</t>
  </si>
  <si>
    <t>978-5-16-010392-1</t>
  </si>
  <si>
    <t>370700.05.01</t>
  </si>
  <si>
    <t>Россия в кризисе и современ. налогооблож.: Моногр. /В.А.Кашин -М.:Магистр, НИЦ ИНФРА-М,2018-368с(О)</t>
  </si>
  <si>
    <t>РОССИЯ В КРИЗИСЕ И СОВРЕМЕННОЕ НАЛОГООБЛОЖЕНИЕ: ПРОБЛЕМЫ, ТЕНДЕНЦИИ, ПЕРСПЕКТИВЫ</t>
  </si>
  <si>
    <t>Кашин В.А., Пономарева Н.В.</t>
  </si>
  <si>
    <t>978-5-9776-0383-6</t>
  </si>
  <si>
    <t>800188.01.01</t>
  </si>
  <si>
    <t>Россия в мировой финансовой архитектуре: Моногр/ / П.В.Алексеев.-М.:НИЦ ИНФРА-М,2023.-203 с.(п)</t>
  </si>
  <si>
    <t>РОССИЯ В МИРОВОЙ ФИНАНСОВОЙ АРХИТЕКТУРЕ</t>
  </si>
  <si>
    <t>Алексеев П.В., Антропов В.В., Аршакуни А.А. и др.</t>
  </si>
  <si>
    <t>978-5-16-018355-8</t>
  </si>
  <si>
    <t>38.04.01, 38.04.08, 38.05.01, 38.06.01, 38.07.02</t>
  </si>
  <si>
    <t>321300.03.01</t>
  </si>
  <si>
    <t>Россия и Европа: взгляд на культур. и полит..: Моногр. / Н.Я.Данилевский - М: НИЦ ИНФРА-М, 2022 - 431с.(П)</t>
  </si>
  <si>
    <t>РОССИЯ И ЕВРОПА: ВЗГЛЯД НА КУЛЬТУРНЫЕ И ПОЛИТИЧЕСКИЕ ОТНОШЕНИЯ СЛАВЯНСКОГО МИРА К ГЕРМАНО-РОМАНСКОМУ</t>
  </si>
  <si>
    <t>Данилевский Н.Я.</t>
  </si>
  <si>
    <t>978-5-16-010447-8</t>
  </si>
  <si>
    <t>745138.04.01</t>
  </si>
  <si>
    <t>Россия и мир в Первой мировой войне...: Моногр. / С.А.Агуреев - М.:НИЦ ИНФРА-М,2024 - 331 с.(Науч.мысль)(О)</t>
  </si>
  <si>
    <t>РОССИЯ И МИР В ПЕРВОЙ МИРОВОЙ ВОЙНЕ: ДИПЛОМАТИЯ, ВОЙНА НА ЗАПАДНОМ ФРОНТЕ, КУЛЬТУРА И МОДЕРНИЗАЦИЯ ВОЕННОЙ ТЕХНИКИ</t>
  </si>
  <si>
    <t>Агуреев С.А., Болтаевский А.А., Прядко И.П.</t>
  </si>
  <si>
    <t>978-5-16-016592-9</t>
  </si>
  <si>
    <t>716649.01.01</t>
  </si>
  <si>
    <t>Россия. XXI век: Энц.: В 2 т.Т.2 / Гл. ред. В.И.Данилов-Данильян - М.:Энциклопедия,2019 - 528 с.(П)</t>
  </si>
  <si>
    <t>РОССИЯ. XXI ВЕК</t>
  </si>
  <si>
    <t>Данилов-Данильян В.И.</t>
  </si>
  <si>
    <t>978-5-94802-117-1</t>
  </si>
  <si>
    <t>112700.10.01</t>
  </si>
  <si>
    <t>Россия: особенности институцион. разв.: Моногр. / Р.М.Нуреев - М.:Юр.Норма, НИЦ ИНФРА-М,2025. - 448 с.(П)</t>
  </si>
  <si>
    <t>РОССИЯ: ОСОБЕННОСТИ ИНСТИТУЦИОНАЛЬНОГО РАЗВИТИЯ</t>
  </si>
  <si>
    <t>Нуреев Р.М.</t>
  </si>
  <si>
    <t>978-5-91768-019-4</t>
  </si>
  <si>
    <t>38.03.01, 38.03.02, 38.03.03, 38.03.04, 38.03.05, 38.03.06, 38.03.07, 38.04.01, 38.04.02, 38.04.03, 38.04.04, 38.04.05, 38.04.06, 38.04.07, 38.04.08, 38.04.09, 38.05.01, 38.05.02, 41.03.06, 44.03.01</t>
  </si>
  <si>
    <t>814120.02.01</t>
  </si>
  <si>
    <t>Руководство по следственной тактике: Моногр. / Е.Е.Центров - М.:Юр. НОРМА, НИЦ ИНФРА-М,2026. - 576 с.(п)</t>
  </si>
  <si>
    <t>РУКОВОДСТВО ПО СЛЕДСТВЕННОЙ ТАКТИКЕ</t>
  </si>
  <si>
    <t>Центров Е.Е.</t>
  </si>
  <si>
    <t>978-5-00156-331-0</t>
  </si>
  <si>
    <t>10.05.04, 38.04.01, 38.05.01, 40.02.02, 40.03.01, 40.04.01, 40.05.01, 40.05.02, 40.05.03, 40.05.04</t>
  </si>
  <si>
    <t>742683.04.01</t>
  </si>
  <si>
    <t>Русофобия: история одной химеры: Моногр. / П.Л.Карабущенко - М.:НИЦ ИНФРА-М,2025. - 327 с.(Науч.мысль)(О)</t>
  </si>
  <si>
    <t>РУСОФОБИЯ: ИСТОРИЯ ОДНОЙ ХИМЕРЫ</t>
  </si>
  <si>
    <t>978-5-16-016637-7</t>
  </si>
  <si>
    <t>41.00.00, 41.03.06, 41.04.04, 41.04.05, 41.06.01</t>
  </si>
  <si>
    <t>668758.06.01</t>
  </si>
  <si>
    <t>Русская литератур. критика на рубеже ХХ-ХХI в.: Моногр. /  Ю.А.Говорухина - М.:НИЦ ИНФРА-М, СФУ,2025. - 358 с(П)</t>
  </si>
  <si>
    <t>РУССКАЯ ЛИТЕРАТУРНАЯ КРИТИКА НА РУБЕЖЕ ХХ-ХХI ВЕКОВ</t>
  </si>
  <si>
    <t>Говорухина Ю.А.</t>
  </si>
  <si>
    <t>978-5-16-016578-3</t>
  </si>
  <si>
    <t>849500.01.01</t>
  </si>
  <si>
    <t>Русская литература и Марсель Пруст: влияния..: Моногр. / А.Н.Таганов - М.:НИЦ ИНФРА-М,2025. - 398 с.(п)</t>
  </si>
  <si>
    <t>РУССКАЯ ЛИТЕРАТУРА И МАРСЕЛЬ ПРУСТ: ВЛИЯНИЯ, РЕЦЕПЦИЯ, ТИПОЛОГИЯ</t>
  </si>
  <si>
    <t>978-5-16-020704-9</t>
  </si>
  <si>
    <t>, 45.04.01, 45.06.01</t>
  </si>
  <si>
    <t>667639.08.01</t>
  </si>
  <si>
    <t>Русская музыка с древ.времен до сер.XX в.: Моногр. / В.П.Лозинская - М.:НИЦ ИНФРА-М, СФУ,2025-136с(О)</t>
  </si>
  <si>
    <t>РУССКАЯ МУЗЫКА С ДРЕВНЕЙШИХ ВРЕМЕН ДО СЕРЕДИНЫ XX ВЕКА</t>
  </si>
  <si>
    <t>Лозинская В.П.</t>
  </si>
  <si>
    <t>978-5-16-016220-1</t>
  </si>
  <si>
    <t>44.03.01, 53.04.01, 53.04.02, 53.04.03, 53.04.04, 53.04.06, 53.05.05</t>
  </si>
  <si>
    <t>420200.06.01</t>
  </si>
  <si>
    <t>Русская Православная церковь в России в конце ХХ в.: Моногр. / Л.А.Королева - М.:НИЦ ИНФРА-М,2024 - 223 с(О)</t>
  </si>
  <si>
    <t>РУССКАЯ ПРАВОСЛАВНАЯ ЦЕРКОВЬ В РОССИИ В КОНЦЕ ХХ ВЕКА</t>
  </si>
  <si>
    <t>Королева Л.А., Королев А.А., Мельниченко О.В.</t>
  </si>
  <si>
    <t>978-5-16-006023-1</t>
  </si>
  <si>
    <t>44.03.01, 44.03.05, 46.03.01, 46.04.01, 47.03.03, 47.04.03</t>
  </si>
  <si>
    <t>295900.10.01</t>
  </si>
  <si>
    <t>Русская цивилизация и фольклор. Мир сказки: Моногр. / А.А.Гагаев - М.:ИЦ РИОР,НИЦ ИНФРА-М,2026 - 202 с.(О)</t>
  </si>
  <si>
    <t>РУССКАЯ ЦИВИЛИЗАЦИЯ И ФОЛЬКЛОР. МИР СКАЗКИ</t>
  </si>
  <si>
    <t>978-5-369-01340-3</t>
  </si>
  <si>
    <t>45.03.01, 45.04.01, 46.03.01, 46.04.01</t>
  </si>
  <si>
    <t>638756.02.01</t>
  </si>
  <si>
    <t>Русский мир и северокавказ.зарубеж.в ХХ-нач. XXIв.:Моногр. / В.Ф.Ершов-М.:НИЦ ИНФРА-М,2017-420с.(П)</t>
  </si>
  <si>
    <t>РУССКИЙ МИР И СЕВЕРОКАВКАЗСКОЕ ЗАРУБЕЖЬЕ В ХХ - НАЧАЛЕ XXI ВЕКА</t>
  </si>
  <si>
    <t>Ершов В.Ф.</t>
  </si>
  <si>
    <t>978-5-16-012237-3</t>
  </si>
  <si>
    <t>46.00.00, 44.03.01, 44.03.05, 46.03.01, 46.04.01</t>
  </si>
  <si>
    <t>796337.01.01</t>
  </si>
  <si>
    <t>Русский символизм как философия личности: Моногр. / Д.Д.Романов-М.:НИЦ ИНФРА-М,2023.-252 с.(П)</t>
  </si>
  <si>
    <t>РУССКИЙ СИМВОЛИЗМ КАК ФИЛОСОФИЯ ЛИЧНОСТИ. КОНЦЕПТУАЛЬНЫЙ АНАЛИЗ СОЦИАЛЬНОЙ ЭСТЕТИКИ</t>
  </si>
  <si>
    <t>Романов Д.Д.</t>
  </si>
  <si>
    <t>978-5-16-018161-5</t>
  </si>
  <si>
    <t>845810.04.01</t>
  </si>
  <si>
    <t>Русский язык в деловой документации / М.В.Марьева - М.:НИЦ ИНФРА-М,2026 - 323 с.(Интересно знать) (п)</t>
  </si>
  <si>
    <t>РУССКИЙ ЯЗЫК В ДЕЛОВОЙ ДОКУМЕНТАЦИИ</t>
  </si>
  <si>
    <t>Марьева М.В.</t>
  </si>
  <si>
    <t>978-5-16-020483-3</t>
  </si>
  <si>
    <t>00.02.34, 31.02.01, 40.02.02, 40.02.04, 46.02.01</t>
  </si>
  <si>
    <t>707070.03.01</t>
  </si>
  <si>
    <t>Русский язык: между неприязнью и любовью: Моногр./ Я.С.Турбовской-М.:НИЦ ИНФРА-М,2023-247с.(П)</t>
  </si>
  <si>
    <t>РУССКИЙ ЯЗЫК: МЕЖДУ НЕПРИЯЗНЬЮ И ЛЮБОВЬЮ</t>
  </si>
  <si>
    <t>978-5-16-015259-2</t>
  </si>
  <si>
    <t>44.04.01, 44.04.04, 45.04.01</t>
  </si>
  <si>
    <t>694120.05.01</t>
  </si>
  <si>
    <t>Рынки капитала и криптоактивов...: Моногр. / А.Ю.Михайлов-М.:НИЦ ИНФРА-М,2023.-219 с.(П)</t>
  </si>
  <si>
    <t>РЫНКИ КАПИТАЛА И КРИПТОАКТИВОВ: ТРЕНДЫ И ПОВЕДЕНИЕ ИНВЕСТОРОВ</t>
  </si>
  <si>
    <t>Михайлов А.Ю.</t>
  </si>
  <si>
    <t>978-5-16-014667-6</t>
  </si>
  <si>
    <t>440100.04.01</t>
  </si>
  <si>
    <t>Рынки труда и образоват. услуг России...: Моногр. / Д.Р.Амирова - 2 изд.-М.:НИЦ ИНФРА-М,2021.-324с(П)</t>
  </si>
  <si>
    <t>РЫНКИ ТРУДА И ОБРАЗОВАТЕЛЬНЫХ УСЛУГ РОССИИ: РЕАЛИИ И ПЕРСПЕКТИВЫ, ИЗД.2</t>
  </si>
  <si>
    <t>Амирова Д.Р., Вдовина О.А., Курдова М.А. и др.</t>
  </si>
  <si>
    <t>978-5-16-011365-4</t>
  </si>
  <si>
    <t>38.03.02, 38.04.01, 38.06.01</t>
  </si>
  <si>
    <t>440100.02.01</t>
  </si>
  <si>
    <t>Рынки труда и образоват. услуг России...: Моногр./ Под ред. Резника С.Д.-М.:НИЦ ИНФРА-М,2017-324с(П)</t>
  </si>
  <si>
    <t>РЫНКИ ТРУДА И ОБРАЗОВАТЕЛЬНЫХ УСЛУГ РОССИИ: РЕАЛИИ И ПЕРСПЕКТИВЫ</t>
  </si>
  <si>
    <t>Резник С.Д., Нижегородцев Р.М., Резник Г.А.</t>
  </si>
  <si>
    <t>825980.01.01</t>
  </si>
  <si>
    <t>Рынок труда соц. уязвимых категорий населения...: Моногр. / О.В.Забелина. - М.:НИЦ ИНФРА-М,2024. - 307 с.(п)</t>
  </si>
  <si>
    <t>РЫНОК ТРУДА СОЦИАЛЬНО УЯЗВИМЫХ КАТЕГОРИЙ НАСЕЛЕНИЯ: ПОТЕНЦИАЛ, НОВЫЕ ТРЕНДЫ И ПРОБЛЕМЫ РЕГУЛИРОВАНИЯ</t>
  </si>
  <si>
    <t>Забелина О.В., Мирзабалаева Ф.И., Санкова Л.В. и др.</t>
  </si>
  <si>
    <t>978-5-16-019872-9</t>
  </si>
  <si>
    <t>38.04.01, 38.04.02, 38.04.03, 38.06.01, 39.03.02</t>
  </si>
  <si>
    <t>768261.01.01</t>
  </si>
  <si>
    <t>Рынок труда угольной промышленности (проф. срез): Моногр. / И.А.Волошина-М.:НИЦ ИНФРА-М,2022-147 с.(Науч.мысль)(О)</t>
  </si>
  <si>
    <t>РЫНОК ТРУДА УГОЛЬНОЙ ПРОМЫШЛЕННОСТИ (ПРОФЕССИОНАЛЬНЫЙ СРЕЗ)</t>
  </si>
  <si>
    <t>Волошина И.А., Бесфамильная С.В., Забелина О.В. и др.</t>
  </si>
  <si>
    <t>978-5-16-017351-1</t>
  </si>
  <si>
    <t>711874.04.01</t>
  </si>
  <si>
    <t>Рынок халяль в России: теория, практика..: Моногр. / Ш.А.Шовхалов - М.:НИЦ ИНФРА-М,2025 - 243 с.(О)</t>
  </si>
  <si>
    <t>РЫНОК ХАЛЯЛЬ В РОССИИ: ТЕОРИЯ, ПРАКТИКА И ПЕРСПЕКТИВЫ РАЗВИТИЯ</t>
  </si>
  <si>
    <t>Шовхалов Ш.А.</t>
  </si>
  <si>
    <t>978-5-16-015646-0</t>
  </si>
  <si>
    <t>38.03.06, 38.03.07, 38.04.06, 38.04.07</t>
  </si>
  <si>
    <t>692979.02.01</t>
  </si>
  <si>
    <t>Рыночная инфраструктура...: Моногр. / Ю.Ю.Суслова.-М.:НИЦ ИНФРА-М,2023.-159 с.(Науч.мысль (СФУ))(О)</t>
  </si>
  <si>
    <t>РЫНОЧНАЯ ИНФРАСТРУКТУРА: ОРГАНИЗАЦИОННО-ПРАКТИЧЕСКИЙ АСПЕКТ</t>
  </si>
  <si>
    <t>Суслова Ю.Ю., Щербенко Е.В., Волошин А.В.</t>
  </si>
  <si>
    <t>978-5-16-014548-8</t>
  </si>
  <si>
    <t>38.03.01, 38.03.04, 38.04.01, 38.04.02, 38.04.04, 44.03.01</t>
  </si>
  <si>
    <t>682916.04.01</t>
  </si>
  <si>
    <t>Сабриентология: наука о трезвом сознании: Моногр. / В.Д.Ширшов-М.:НИЦ ИНФРА-М,2023.-210 с.(Науч.мысль)(О)</t>
  </si>
  <si>
    <t>САБРИЕНТОЛОГИЯ: НАУКА О ТРЕЗВОМ СОЗНАНИИ</t>
  </si>
  <si>
    <t>Ширшов В.Д.</t>
  </si>
  <si>
    <t>978-5-16-014052-0</t>
  </si>
  <si>
    <t>44.03.01, 44.05.01</t>
  </si>
  <si>
    <t>012656.08.01</t>
  </si>
  <si>
    <t>Самое святое, что есть у Бога на земле.: Моногр./ С.С.Алексеев, - 2 изд. - М.:Юр.Норма, НИЦ ИНФРА-М,2025 - 448 с.(П)</t>
  </si>
  <si>
    <t>САМОЕ СВЯТОЕ, ЧТО ЕСТЬ У БОГА НА ЗЕМЛЕ. ИММАНУИЛ КАНТ И ПРОБЛЕМЫ ПРАВА В СОВРЕМЕННУЮ ЭПОХУ, ИЗД.2</t>
  </si>
  <si>
    <t>Алексеев С. С.</t>
  </si>
  <si>
    <t>978-5-91768-358-4</t>
  </si>
  <si>
    <t>00.03.40, 40.03.01, 40.04.01, 40.05.01, 40.05.02, 40.05.03, 40.05.04, 40.06.01</t>
  </si>
  <si>
    <t>837232.01.01</t>
  </si>
  <si>
    <t>Самоидентификация рос. молодежи в трансформир. мире: Моногр. / М.Л.Галас - М.:НИЦ ИНФРА-М,2024. - 227 с. ( п)</t>
  </si>
  <si>
    <t>САМОИДЕНТИФИКАЦИЯ РОССИЙСКОЙ МОЛОДЕЖИ В ТРАНСФОРМИРУЮЩЕМСЯ МИРЕ</t>
  </si>
  <si>
    <t>Галас М.Л., Брушкова Л.А.</t>
  </si>
  <si>
    <t>978-5-16-020199-3</t>
  </si>
  <si>
    <t>37.04.01, 37.04.02, 37.06.01, 39.04.01, 39.04.03, 39.06.01</t>
  </si>
  <si>
    <t>674951.10.01</t>
  </si>
  <si>
    <t>Самоорганизация и личная эффектив.: секреты и уроки .. / С.Д.Резник - 2 изд. - М.:ИНФРА-М,2024 - 286с.(п)</t>
  </si>
  <si>
    <t>САМООРГАНИЗАЦИЯ И ЛИЧНАЯ ЭФФЕКТИВНОСТЬ: СЕКРЕТЫ И УРОКИ ЖИЗНИ ОРГАНИЗОВАННОГО ЧЕЛОВЕКА, ИЗД.2</t>
  </si>
  <si>
    <t>Резник С.Д., Усов В.Р.</t>
  </si>
  <si>
    <t>978-5-16-020550-2</t>
  </si>
  <si>
    <t>38.03.01, 38.03.02, 38.03.03, 38.03.04, 38.04.01, 38.04.02, 38.04.03, 38.04.04</t>
  </si>
  <si>
    <t>674951.12.01</t>
  </si>
  <si>
    <t>Самоорганизация и личная эффектив.: секреты и уроки .. / С.Д.Резник - 3 изд. - М.:ИНФРА-М,2025 - 290c.(п)</t>
  </si>
  <si>
    <t>САМООРГАНИЗАЦИЯ И ЛИЧНАЯ ЭФФЕКТИВНОСТЬ: СЕКРЕТЫ И УРОКИ ЖИЗНИ ОРГАНИЗОВАННОГО ЧЕЛОВЕКА, ИЗД.3</t>
  </si>
  <si>
    <t>978-5-16-020522-9</t>
  </si>
  <si>
    <t>674951.02.01</t>
  </si>
  <si>
    <t>Самоорганизация и личная эффектив.: секреты и уроки жизни.../ С.Д.Резник-М:НИЦ ИНФРА-М,2018.-280с(П)</t>
  </si>
  <si>
    <t>САМООРГАНИЗАЦИЯ И ЛИЧНАЯ ЭФФЕКТИВНОСТЬ: СЕКРЕТЫ И УРОКИ ЖИЗНИ ОРГАНИЗОВАННОГО ЧЕЛОВЕКА</t>
  </si>
  <si>
    <t>978-5-16-013568-7</t>
  </si>
  <si>
    <t>734798.03.01</t>
  </si>
  <si>
    <t>Самосознание и личностный адаптац. потенциал при нормал. и... / Т.И.Кузьмина-М.:НИЦ ИНФРА-М,2024.-210 с.(О)</t>
  </si>
  <si>
    <t>САМОСОЗНАНИЕ И ЛИЧНОСТНЫЙ АДАПТАЦИОННЫЙ ПОТЕНЦИАЛ ПРИ НОРМАЛЬНОМ И НАРУШЕННОМ РАЗВИТИИ</t>
  </si>
  <si>
    <t>Кузьмина Т.И.</t>
  </si>
  <si>
    <t>978-5-16-016201-0</t>
  </si>
  <si>
    <t>37.03.01, 37.05.01, 37.06.01, 44.06.01</t>
  </si>
  <si>
    <t>476200.05.01</t>
  </si>
  <si>
    <t>Санитарно-защитная зона предприятия как...: Моногр. / Н.Н.Крупина - М.:НИЦ ИНФРА-М,2024 - 271 с.(О)</t>
  </si>
  <si>
    <t>САНИТАРНО-ЗАЩИТНАЯ ЗОНА ПРЕДПРИЯТИЯ КАК ЧАСТЬ УРБАНИЗИРОВАННОЙ СРЕДЫ (СТАНДАРТЫ, ИННОВАЦИИ, ЭКОНОМИКА, УПРАВЛЕНИЕ)</t>
  </si>
  <si>
    <t>Крупина Н.Н.</t>
  </si>
  <si>
    <t>978-5-16-015673-6</t>
  </si>
  <si>
    <t>07.03.01, 20.03.02, 35.04.09, 38.03.07, 44.03.01</t>
  </si>
  <si>
    <t>796037.03.01</t>
  </si>
  <si>
    <t>Санкционный фактор трансформации рос. и мир. экономики: Моногр. /Логинов Б.Б.-М.:НИЦ ИНФРА-М,2024.-235 с.(п)</t>
  </si>
  <si>
    <t>САНКЦИОННЫЙ ФАКТОР ТРАНСФОРМАЦИИ РОССИЙСКОЙ И МИРОВОЙ ЭКОНОМИКИ</t>
  </si>
  <si>
    <t>Логинов Б.Б., Толмачев П.И., Сурма И.В. и др.</t>
  </si>
  <si>
    <t>978-5-16-018195-0</t>
  </si>
  <si>
    <t>778953.01.01</t>
  </si>
  <si>
    <t>Сборник эссе по банковскому регулированию: Монография / Н.В.Громова-М.:НИЦ ИНФРА-М,2022.-115 с.(О)</t>
  </si>
  <si>
    <t>СБОРНИК ЭССЕ ПО БАНКОВСКОМУ РЕГУЛИРОВАНИЮ</t>
  </si>
  <si>
    <t>Громова Н.В.</t>
  </si>
  <si>
    <t>978-5-16-017716-8</t>
  </si>
  <si>
    <t>38.02.07, 38.03.01, 38.04.01, 38.04.04, 38.04.08, 38.05.01, 38.06.01</t>
  </si>
  <si>
    <t>670467.04.01</t>
  </si>
  <si>
    <t>Сварочные свойства однофазных выпрямителей: Моногр. / Р.А.Мейстер-М.:НИЦ ИНФРА-М, СФУ,2023-170 с.(П)</t>
  </si>
  <si>
    <t>СВАРОЧНЫЕ СВОЙСТВА ОДНОФАЗНЫХ ВЫПРЯМИТЕЛЕЙ</t>
  </si>
  <si>
    <t>Мейстер Р.А., Мейстер А.Р.</t>
  </si>
  <si>
    <t>978-5-16-013383-6</t>
  </si>
  <si>
    <t>15.03.01, 15.03.02, 15.03.04, 15.03.05, 15.04.01, 15.04.02, 15.04.04, 15.04.05, 15.06.01</t>
  </si>
  <si>
    <t>475700.07.01</t>
  </si>
  <si>
    <t>Свобода слова: Монография / В.Н.Кудрявцев - М.:Юр.Норма, НИЦ ИНФРА-М,2024 - 204 с.(П)</t>
  </si>
  <si>
    <t>СВОБОДА СЛОВА</t>
  </si>
  <si>
    <t>978-5-91768-708-7</t>
  </si>
  <si>
    <t>38.03.04, 40.03.01, 40.04.01, 40.05.01, 40.05.02, 40.05.03, 44.03.05</t>
  </si>
  <si>
    <t>763768.01.01</t>
  </si>
  <si>
    <t>Священное в мирском: конфесс. прочтение межд. отношений: Моногр. / Л.О.Терновая-М.:НИЦ ИНФРА-М,2022.-300 с.(Науч.мысль)(О)</t>
  </si>
  <si>
    <t>СВЯЩЕННОЕ В МИРСКОМ: КОНФЕССИОНАЛЬНОЕ ПРОЧТЕНИЕ МЕЖДУНАРОДНЫХ ОТНОШЕНИЙ</t>
  </si>
  <si>
    <t>978-5-16-017168-5</t>
  </si>
  <si>
    <t>47.00.00, 00.03.05, 00.05.05, 41.03.04, 41.04.05, 46.04.01, 47.04.03, 48.04.01</t>
  </si>
  <si>
    <t>468500.07.01</t>
  </si>
  <si>
    <t>Северская земля: этнодинамика...: Моногр. / Н.М.Багновская - М.:НИЦ ИНФРА-М,2025. - 214 с.(о)</t>
  </si>
  <si>
    <t>СЕВЕРСКАЯ ЗЕМЛЯ: ЭТНОДИНАМИКА НАСЕЛЕНИЯ В VIII-XVIII В</t>
  </si>
  <si>
    <t>Багновская Н.М.</t>
  </si>
  <si>
    <t>978-5-16-019443-1</t>
  </si>
  <si>
    <t>44.03.01, 44.03.05, 46.03.01, 46.03.03, 46.04.03</t>
  </si>
  <si>
    <t>673849.04.01</t>
  </si>
  <si>
    <t>Семейно-детный образ жизни: результаты соц.-демогр..: Моногр. / А.И.Антонов - М.:НИЦ ИНФРА-М,2025 - 540 с.(п)</t>
  </si>
  <si>
    <t>СЕМЕЙНО-ДЕТНЫЙ ОБРАЗ ЖИЗНИ: РЕЗУЛЬТАТЫ СОЦИОЛОГО-ДЕМОГРАФИЧЕСКОГО ИССЛЕДОВАНИЯ</t>
  </si>
  <si>
    <t>Антонов А.И., Синельников А.Б., Новоселова Е.Н. и др.</t>
  </si>
  <si>
    <t>978-5-16-013618-9</t>
  </si>
  <si>
    <t>38.03.01, 38.03.04, 39.03.01, 39.03.03, 39.04.01, 39.04.03, 44.03.01, 44.03.05</t>
  </si>
  <si>
    <t>Московский государственный университет им. М.В. Ломоносова, социологический факультет</t>
  </si>
  <si>
    <t>654662.03.01</t>
  </si>
  <si>
    <t>Семейное право и концепция развит.семейного законодат.: Сб./ А.Е.Тарасова-М.:НИЦ ИНФРА,2019-484с(П)</t>
  </si>
  <si>
    <t>СЕМЕЙНОЕ ПРАВО И КОНЦЕПЦИЯ РАЗВИТИЯ СЕМЕЙНОГО ЗАКОНОДАТЕЛЬСТВА: МЕЖДУНАРОДНЫЕ СТАНДАРТЫ И РОССИЙСКАЯ МОДЕЛЬ</t>
  </si>
  <si>
    <t>Тарасова А.Е.</t>
  </si>
  <si>
    <t>978-5-16-013542-7</t>
  </si>
  <si>
    <t>40.02.02, 40.02.04, 40.03.01, 40.04.01, 40.05.02, 44.03.05</t>
  </si>
  <si>
    <t>856783.01.01</t>
  </si>
  <si>
    <t>Семейное право России и Китая в воп. и отв.: Справ. пос. / А.Г.Малинова-М.:Юр. НОРМА,2025.-200 с.(п)</t>
  </si>
  <si>
    <t>СЕМЕЙНОЕ ПРАВО РОССИИ И КИТАЯ В ВОПРОСАХ И ОТВЕТАХ</t>
  </si>
  <si>
    <t>Малинова А.Г., Османова Д.О.</t>
  </si>
  <si>
    <t>978-5-00156-441-6</t>
  </si>
  <si>
    <t>40.03.01, 40.05.01, 40.05.02, 40.05.04, 44.03.05, 44.05.01</t>
  </si>
  <si>
    <t>792933.03.01</t>
  </si>
  <si>
    <t>Семейные отнош. с участием иностранцев...: Моногр. / Н.И.Марышева - М.:Юр. НОРМА, НИЦ ИНФРА-М,2025 - 328 с.(П)</t>
  </si>
  <si>
    <t>СЕМЕЙНЫЕ ОТНОШЕНИЯ С УЧАСТИЕМ ИНОСТРАНЦЕВ: ПРАВОВОЕ РЕГУЛИРОВАНИЕ В РОССИИ</t>
  </si>
  <si>
    <t>Марышева Н.И.</t>
  </si>
  <si>
    <t>978-5-00156-274-0</t>
  </si>
  <si>
    <t>761784.04.01</t>
  </si>
  <si>
    <t>Семейный лад, или ценности семейного воспитания в России: Моногр. / Л.О.Володина - М.:НИЦ ИНФРА-М,2025. - 231 с.(О)</t>
  </si>
  <si>
    <t>СЕМЕЙНЫЙ ЛАД, ИЛИ ЦЕННОСТИ СЕМЕЙНОГО ВОСПИТАНИЯ В РОССИИ</t>
  </si>
  <si>
    <t>Володина Л.О.</t>
  </si>
  <si>
    <t>978-5-16-017167-8</t>
  </si>
  <si>
    <t>44.04.01, 44.04.02, 44.05.01, 44.06.01</t>
  </si>
  <si>
    <t>Вологодский государственный университет</t>
  </si>
  <si>
    <t>681847.09.01</t>
  </si>
  <si>
    <t>Семья и частная жизнь русского купечества...: Моногр. / И.Н.Лобачева - М.:НИЦ ИНФРА-М,2026 - 227 с.(О)</t>
  </si>
  <si>
    <t>СЕМЬЯ И ЧАСТНАЯ ЖИЗНЬ РУССКОГО КУПЕЧЕСТВА ВО ВТОРОЙ ПОЛОВИНЕ XIX - НАЧАЛЕ XX ВЕКА (ПО МАТЕРИАЛАМ ТУЛЬСКОЙ ГУБЕРНИИ)</t>
  </si>
  <si>
    <t>Лобачева И.Н.</t>
  </si>
  <si>
    <t>978-5-16-013853-4</t>
  </si>
  <si>
    <t>44.03.01, 44.03.05, 46.03.01, 46.04.01, 51.03.01, 51.03.03, 51.04.01, 51.04.03</t>
  </si>
  <si>
    <t>Тульский государственный университет</t>
  </si>
  <si>
    <t>654677.04.01</t>
  </si>
  <si>
    <t>Сервис: термины и понятия: Сл./ Под ред. Гойхмана О.Я. - М.:НИЦ ИНФРА-М,2026 - 239 с.(Б-ка сл. ИНФРА-М)(П)</t>
  </si>
  <si>
    <t>СЕРВИС: ТЕРМИНЫ И ПОНЯТИЯ</t>
  </si>
  <si>
    <t>Гойхман О.Я., Зворыкина Т.И., Гончарова Л.М. и др.</t>
  </si>
  <si>
    <t>978-5-16-014474-0</t>
  </si>
  <si>
    <t>43.02.06, 43.02.16, 43.03.01, 43.03.02, 43.03.03, 43.04.01, 43.04.02, 43.04.03</t>
  </si>
  <si>
    <t>375900.02.98</t>
  </si>
  <si>
    <t>Сетевая модель формирования рос нац. иннов..: Моногр./ А.Е.Суглобов-М.:ИЦ РИОР,НИЦ ИНФРА-М,2017-137с</t>
  </si>
  <si>
    <t>СЕТЕВАЯ МОДЕЛЬ ФОРМИРОВАНИЯ РОССИЙСКОЙ НАЦИОНАЛЬНОЙ ИННОВАЦИОННОЙ СИСТЕМЫ</t>
  </si>
  <si>
    <t>Суглобов А.Е., Смирнова Е.В.</t>
  </si>
  <si>
    <t>978-5-369-01442-4</t>
  </si>
  <si>
    <t>02.04.03, 19.04.02, 22.04.02, 23.04.03, 25.04.01, 25.04.02, 25.04.03, 25.04.04, 27.03.05, 27.04.07, 38.03.01</t>
  </si>
  <si>
    <t>375900.06.01</t>
  </si>
  <si>
    <t>Сетевая модель формирования рос нац..: Моногр./ А.Е.Суглобов - 2 изд. - М.:ИЦ РИОР,НИЦ ИНФРА-М,2022-137с(О)</t>
  </si>
  <si>
    <t>СЕТЕВАЯ МОДЕЛЬ РОС. НАЦ.  ИННОВАЦИОННОЙ СИСТЕМЫ: ФОРМИРОВАНИЕ И РАЗВИТИЕ, ИЗД.2</t>
  </si>
  <si>
    <t>978-5-369-01755-5</t>
  </si>
  <si>
    <t>670750.03.01</t>
  </si>
  <si>
    <t>Сибирский текст в нац. сюжетном пространстве: Моногр. / И.А.Айзикова.-М.:НИЦ ИНФРА-М, СФУ,2021.-237 с.(П)</t>
  </si>
  <si>
    <t>СИБИРСКИЙ ТЕКСТ В НАЦИОНАЛЬНОМ СЮЖЕТНОМ ПРОСТРАНСТВЕ</t>
  </si>
  <si>
    <t>Айзикова И.А., Анисимов К.В., Замятин Д.Н. и др.</t>
  </si>
  <si>
    <t>978-5-16-016947-7</t>
  </si>
  <si>
    <t>779602.01.01</t>
  </si>
  <si>
    <t>Сибирь-2021. Развитие продолжается: Моногр. / В.В.Куимов-М.:НИЦ ИНФРА-М,2022.-420 с.(Науч.мысль)(П)</t>
  </si>
  <si>
    <t>СИБИРЬ-2021. РАЗВИТИЕ ПРОДОЛЖАЕТСЯ</t>
  </si>
  <si>
    <t>Куимов В.В., Жиронкин С.А., Демченко С.К. и др.</t>
  </si>
  <si>
    <t>978-5-16-017834-9</t>
  </si>
  <si>
    <t>05.04.02, 38.04.01, 38.04.04, 38.05.01, 38.05.02, 38.06.01, 44.04.04</t>
  </si>
  <si>
    <t>809296.01.01</t>
  </si>
  <si>
    <t>Сибирь-2023. На пути соц.-экономич. трансформации: Моногр. / В.В.Куимов-М.:НИЦ ИНФРА-М,2024.-222 с.(п)</t>
  </si>
  <si>
    <t>СИБИРЬ-2023. НА ПУТИ СОЦИАЛЬНО-ЭКОНОМИЧЕСКОЙ ТРАНСФОРМАЦИИ</t>
  </si>
  <si>
    <t>Куимов В.В., Сердюк С.С., Ямщиков А.С. и др.</t>
  </si>
  <si>
    <t>978-5-16-019164-5</t>
  </si>
  <si>
    <t>05.04.02, 05.06.01, 38.03.01, 38.04.01, 38.04.04, 38.05.01, 38.06.01, 41.03.02, 41.06.01, 44.04.04</t>
  </si>
  <si>
    <t>806477.01.01</t>
  </si>
  <si>
    <t>Силосование: совр. подходы к консервир..: Моногр./ Е.В.Косолапова-М.:НИЦ ИНФРА-М,2024.-216 с(Науч.мысль)(о)</t>
  </si>
  <si>
    <t>СИЛОСОВАНИЕ: СОВРЕМЕННЫЕ ПОДХОДЫ К КОНСЕРВИРОВАНИЮ ТРУДНОСИЛОСУЕМЫХ РАСТЕНИЙ</t>
  </si>
  <si>
    <t>Косолапова Е.В., Кучин Н.Н., Косолапов В.В.</t>
  </si>
  <si>
    <t>978-5-16-018792-1</t>
  </si>
  <si>
    <t>36.04.02, 36.05.01, 36.06.01</t>
  </si>
  <si>
    <t>651699.11.01</t>
  </si>
  <si>
    <t>Сильное гос. как опред. фактор общ. прогресса: Моногр. / А.Д.Керимов - М:Норма,НИЦ ИНФРА-М,2025 - 96 с(О)</t>
  </si>
  <si>
    <t>СИЛЬНОЕ ГОСУДАРСТВО КАК ОПРЕДЕЛЯЮЩИЙ ФАКТОР ОБЩЕСТВЕННОГО ПРОГРЕССА</t>
  </si>
  <si>
    <t>Керимов А.Д., Куксин И.Н.</t>
  </si>
  <si>
    <t>978-5-91768-816-9</t>
  </si>
  <si>
    <t>772066.04.01</t>
  </si>
  <si>
    <t>Символы в праве, правовой науке и юридич. образ.: Моногр. / И.В.Мальцев - М.:НОРМА,2026. - 256 с.(П)</t>
  </si>
  <si>
    <t>СИМВОЛЫ В ПРАВЕ, ПРАВОВОЙ НАУКЕ И ЮРИДИЧЕСКОМ ОБРАЗОВАНИИ</t>
  </si>
  <si>
    <t>Мальцев И.В.</t>
  </si>
  <si>
    <t>978-5-00156-221-4</t>
  </si>
  <si>
    <t>727003.01.01</t>
  </si>
  <si>
    <t>Симметрия заблуждений: Факторы неопределенности...: Моногр. / В.Д.Миловидов - М.:Магистр,2019 - 336с(П)</t>
  </si>
  <si>
    <t>СИММЕТРИЯ ЗАБЛУЖДЕНИЙ: ФАКТОРЫ НЕОПРЕДЕЛЕННОСТИ ФИНАНСОВОГО РЫНКА В УСЛОВИЯХ ТЕХНОЛОГИЧЕСКОЙ РЕВОЛЮЦИИ</t>
  </si>
  <si>
    <t>Миловидов В.Д.</t>
  </si>
  <si>
    <t>978-5-9776-0509-0</t>
  </si>
  <si>
    <t>718665.06.01</t>
  </si>
  <si>
    <t>Синергетика и герменевтика в правовед. и соц.-правовом.../ Малинова И.П.-М.:Юр.Норма, НИЦ ИНФРА-М,2024-216с.(П)</t>
  </si>
  <si>
    <t>СИНЕРГЕТИКА И ГЕРМЕНЕВТИКА В ПРАВОВЕДЕНИИ И СОЦИАЛЬНО-ПРАВОВОМ РЕГУЛИРОВАНИИ</t>
  </si>
  <si>
    <t>Малинова И.П., Абушенко Д.Б., Безбородов Ю.С. и др.</t>
  </si>
  <si>
    <t>978-5-00156-023-4</t>
  </si>
  <si>
    <t>273300.04.01</t>
  </si>
  <si>
    <t>Синергетический эффект интеграции компаний: Моногр./А.Е.Иванов - РИОР: ИНФРА-М, 2022-156с. (о)</t>
  </si>
  <si>
    <t>СИНЕРГЕТИЧЕСКИЙ ЭФФЕКТ ИНТЕГРАЦИИ КОМПАНИЙ: МЕХАНИЗМ ФОРМИРОВАНИЯ, ОЦЕНКА, УЧЕТ</t>
  </si>
  <si>
    <t>Иванов А.Е.</t>
  </si>
  <si>
    <t>978-5-369-01342-7</t>
  </si>
  <si>
    <t>760953.01.01</t>
  </si>
  <si>
    <t>Система «морской порт - «сухой» порт»: Моногр. / Д.С.Муравьев - М.:НИЦ ИНФРА-М,2022 - 176 с.(Науч.мысль)(О)</t>
  </si>
  <si>
    <t>СИСТЕМА «МОРСКОЙ ПОРТ - «СУХОЙ» ПОРТ»</t>
  </si>
  <si>
    <t>Муравьев Д.С., Рахмангулов А.Н., Осинцев Н.А. и др.</t>
  </si>
  <si>
    <t>978-5-16-017155-5</t>
  </si>
  <si>
    <t>23.03.01, 23.04.01, 23.06.01, 27.04.04, 27.06.01, 38.04.02, 38.06.01</t>
  </si>
  <si>
    <t>Шанхайского университета транспорта</t>
  </si>
  <si>
    <t>245400.08.01</t>
  </si>
  <si>
    <t>Система адм.права (методология, наука, регл.): Моногр. / Д.В.Осинцев - НИЦ ИНФРА-М,2025 - 228с(Науч.мысль)(О)</t>
  </si>
  <si>
    <t>СИСТЕМА АДМИНИСТРАТИВНОГО ПРАВА (МЕТОДОЛОГИЯ, НАУКА, РЕГЛАМЕНТАЦИЯ)</t>
  </si>
  <si>
    <t>Осинцев Д. В.</t>
  </si>
  <si>
    <t>978-5-16-009289-8</t>
  </si>
  <si>
    <t>800901.01.01</t>
  </si>
  <si>
    <t>Система взаим. страх. в Тульской губернии во втор. пол... / Е.И.Зубарева-М.:НИЦ ИНФРА-М,2023.-173 с.(п)</t>
  </si>
  <si>
    <t>СИСТЕМА ВЗАИМНОГО СТРАХОВАНИЯ В ТУЛЬСКОЙ ГУБЕРНИИ ВО ВТОРОЙ ПОЛОВИНЕ XIX - НАЧАЛЕ XX ВЕКА</t>
  </si>
  <si>
    <t>Зубарева Е.И.</t>
  </si>
  <si>
    <t>978-5-16-018472-2</t>
  </si>
  <si>
    <t>237500.06.01</t>
  </si>
  <si>
    <t>Система договоров в гражд. праве России: Моногр. / Ю.В.Романец - 2 изд. - М.:Юр.Норма, НИЦ ИНФРА-М,2025. - 496 с.(П)</t>
  </si>
  <si>
    <t>СИСТЕМА ДОГОВОРОВ В ГРАЖДАНСКОМ ПРАВЕ РОССИИ, ИЗД.2</t>
  </si>
  <si>
    <t>Романец Ю. В., Яковлев В. Ф.</t>
  </si>
  <si>
    <t>978-5-91768-434-5</t>
  </si>
  <si>
    <t>423250.09.01</t>
  </si>
  <si>
    <t>Система качества вуза: Моногр. / В.В.Левшина - М.:НИЦ ИНФРА-М,2026. - 280 с.-(Научная мысль)(П)</t>
  </si>
  <si>
    <t>СИСТЕМА КАЧЕСТВА ВУЗА</t>
  </si>
  <si>
    <t>Левшина В.В.</t>
  </si>
  <si>
    <t>978-5-16-006574-8</t>
  </si>
  <si>
    <t>708099.06.01</t>
  </si>
  <si>
    <t>Система контроля в сфере гос. упр.: Моногр. / С.М.Зубарев - М.:Юр.Норма, НИЦ ИНФРА-М,2026 - 152 с.(П)</t>
  </si>
  <si>
    <t>СИСТЕМА КОНТРОЛЯ В СФЕРЕ ГОСУДАРСТВЕННОГО УПРАВЛЕНИЯ</t>
  </si>
  <si>
    <t>Зубарев С.М.</t>
  </si>
  <si>
    <t>978-5-91768-659-2</t>
  </si>
  <si>
    <t>764847.01.01</t>
  </si>
  <si>
    <t>Система контроля экологич. устой. экономич. субъектов: Моногр. / Л.В.Чхутиашвили-М.:НИЦ ИНФРА-М,2022.-226 с(О)</t>
  </si>
  <si>
    <t>СИСТЕМА КОНТРОЛЯ ЭКОЛОГИЧЕСКОЙ УСТОЙЧИВОСТИ ЭКОНОМИЧЕСКИХ СУБЪЕКТОВ</t>
  </si>
  <si>
    <t>Чхутиашвили Л.В.</t>
  </si>
  <si>
    <t>978-5-16-017196-8</t>
  </si>
  <si>
    <t>05.04.06, 05.06.01, 38.04.01, 38.06.01</t>
  </si>
  <si>
    <t>668759.01.01</t>
  </si>
  <si>
    <t>Система культуры: новые детерминанты... Моногр. / Е.А.Ноздренко-М.:НИЦ ИНФРА-М, СФУ,2018-156с</t>
  </si>
  <si>
    <t>СИСТЕМА КУЛЬТУРЫ: НОВЫЕ ДЕТЕРМИНАНТЫ. РЕКЛАМА КАК ФАКТОР СОВРЕМЕННОГО КУЛЬТУРНО-ИСТОРИЧЕСКОГО ПРОЦЕССА</t>
  </si>
  <si>
    <t>Ноздренко Е.А., Копцева Н.П.</t>
  </si>
  <si>
    <t>978-5-16-013317-1</t>
  </si>
  <si>
    <t>800198.01.01</t>
  </si>
  <si>
    <t>Система налогообложения физ. лиц в РФ: Моногр./ Д.Ю.Бобошко-М.:НИЦ ИНФРА-М,2024.-225 с.(Науч.мысль)(о)</t>
  </si>
  <si>
    <t>СИСТЕМА НАЛОГООБЛОЖЕНИЯ ФИЗИЧЕСКИХ ЛИЦ В РОССИЙСКОЙ ФЕДЕРАЦИИ</t>
  </si>
  <si>
    <t>Бобошко Д.Ю.</t>
  </si>
  <si>
    <t>978-5-16-019066-2</t>
  </si>
  <si>
    <t>260600.07.01</t>
  </si>
  <si>
    <t>Система письма в англ. яз. и совр. узус: Моногр. / Н.К.Иванова. - М.:ИЦ РИОР, НИЦ ИНФРА-М,2025  - 238 с.(о)</t>
  </si>
  <si>
    <t>СИСТЕМА ПИСЬМА В АНГЛИЙСКОМ ЯЗЫКЕ И СОВРЕМЕННЫЙ УЗУС: ЯЗЫК, ВИРТУАЛЬНАЯ КОММУНИКАЦИЯ, РЕКЛАМА</t>
  </si>
  <si>
    <t>Иванова Н.К., Кузьмина Р.В., Мощева С.В.</t>
  </si>
  <si>
    <t>978-5-369-01324-3</t>
  </si>
  <si>
    <t>838344.01.01</t>
  </si>
  <si>
    <t>Система подготов. сотр. полиции к раб. с подрост. в центр..: Моногр. / М.А.Ерофеева - М.:ИНФРА-М,2025. - 185 с.(п)</t>
  </si>
  <si>
    <t>СИСТЕМА ПОДГОТОВКИ СОТРУДНИКОВ ПОЛИЦИИ К РАБОТЕ С ПОДРОСТКАМИ В ЦЕНТРАХ ВРЕМЕННОГО СОДЕРЖАНИЯ ДЛЯ НЕСОВЕРШЕННОЛЕТНИХ ПРАВОНАРУШИТЕЛЕЙ</t>
  </si>
  <si>
    <t>Ерофеева М.А., Мироненкова О.Л.</t>
  </si>
  <si>
    <t>978-5-16-020329-4</t>
  </si>
  <si>
    <t>418500.09.01</t>
  </si>
  <si>
    <t>Система способов защиты вещных прав: Моногр. / С.А.Краснова - М.: НИЦ Инфра-М, 2026 - 148 с.(О)</t>
  </si>
  <si>
    <t>СИСТЕМА СПОСОБОВ ЗАЩИТЫ ВЕЩНЫХ ПРАВ</t>
  </si>
  <si>
    <t>Краснова С.А.</t>
  </si>
  <si>
    <t>978-5-16-006264-8</t>
  </si>
  <si>
    <t>700863.02.01</t>
  </si>
  <si>
    <t>Система средств индивидуализации физ. лиц как...: Моногр. / С.В.Лукашевич-М.:НИЦ ИНФРА-М,2023.-197с(О)</t>
  </si>
  <si>
    <t>СИСТЕМА СРЕДСТВ ИНДИВИДУАЛИЗАЦИИ ФИЗИЧЕСКИХ ЛИЦ КАК СУБЪЕКТОВ ГРАЖДАНСКОГО ПРАВА</t>
  </si>
  <si>
    <t>Лукашевич С.В.</t>
  </si>
  <si>
    <t>978-5-16-014865-6</t>
  </si>
  <si>
    <t>646391.04.01</t>
  </si>
  <si>
    <t>Система управления регион.развитием..: Моногр. / И.Л.Литвиненко - М.:ИЦ РИОР, НИЦ ИНФРА-М,2025 - 204 с.(О)</t>
  </si>
  <si>
    <t>СИСТЕМА УПРАВЛЕНИЯ РЕГИОНАЛЬНЫМ РАЗВИТИЕМ НА ОСНОВЕ ИННОВАЦИОННО-ИНВЕСТИЦИОННОЙ МОДЕЛИ</t>
  </si>
  <si>
    <t>Литвиненко И.Л.</t>
  </si>
  <si>
    <t>978-5-369-01630-5</t>
  </si>
  <si>
    <t>27.04.05, 27.04.07, 38.03.01</t>
  </si>
  <si>
    <t>656208.06.01</t>
  </si>
  <si>
    <t>Система финанс.контроллинга бизнес-процессов в пром.холдингах: Моногр. / Е.А.Хлевная - М.:НИЦ ИНФРА-М,2024-289с(П)</t>
  </si>
  <si>
    <t>СИСТЕМА ФИНАНСОВОГО КОНТРОЛЛИНГА БИЗНЕС-ПРОЦЕССОВ В ПРОМЫШЛЕННЫХ ХОЛДИНГАХ</t>
  </si>
  <si>
    <t>Хлевная Е.А.</t>
  </si>
  <si>
    <t>978-5-16-012868-9</t>
  </si>
  <si>
    <t>665723.07.01</t>
  </si>
  <si>
    <t>Системное упр.перевозочным процес.на ж/д транспорте: Моногр./ Д.Ю.Левин-М.:НИЦ ИНФРА-М,2023-313с(П)</t>
  </si>
  <si>
    <t>СИСТЕМНОЕ УПРАВЛЕНИЕ ПЕРЕВОЗОЧНЫМ ПРОЦЕССОМ НА ЖЕЛЕЗНОДОРОЖНОМ ТРАНСПОРТЕ</t>
  </si>
  <si>
    <t>978-5-16-012368-4</t>
  </si>
  <si>
    <t>753522.01.01</t>
  </si>
  <si>
    <t>Системно-синергетич. аспект энерго- и ресурсосб. в строит..: Моногр. / Р.А.Попов-М.:НИЦ ИНФРА-М,2022.-187с(О)</t>
  </si>
  <si>
    <t>СИСТЕМНО-СИНЕРГЕТИЧЕСКИЙ АСПЕКТ ЭНЕРГО- И РЕСУРСОСБЕРЕЖЕНИЯ В СТРОИТЕЛЬСТВЕ И ЖКХ В УСЛОВИЯХ ЭКОЛОГИЗАЦИИ</t>
  </si>
  <si>
    <t>Попов Р.А.</t>
  </si>
  <si>
    <t>978-5-16-016897-5</t>
  </si>
  <si>
    <t>08.04.01, 08.06.01, 38.03.10, 38.06.01</t>
  </si>
  <si>
    <t>Кубанский государственный технологический университет</t>
  </si>
  <si>
    <t>848712.01.01</t>
  </si>
  <si>
    <t>Системные исслед. экономич. объектов: Моногр. / А.И.Гурко - М.:НИЦ ИНФРА-М,2025. - 401 с.(Науч.мысль)(п)</t>
  </si>
  <si>
    <t>СИСТЕМНЫЕ ИССЛЕДОВАНИЯ ЭКОНОМИЧЕСКИХ ОБЪЕКТОВ</t>
  </si>
  <si>
    <t>Гурко А.И., Сахнович Т.А.</t>
  </si>
  <si>
    <t>978-5-16-020723-0</t>
  </si>
  <si>
    <t>03.04.01, 38.03.01, 38.04.01, 38.05.01, 38.06.01</t>
  </si>
  <si>
    <t>633630.04.01</t>
  </si>
  <si>
    <t>Системные методы анализа и синтеза интеллектуал... / С.О.Крамаров - М.:ИЦ РИОР, НИЦ ИНФРА-М,2025. - 238 с.(О)</t>
  </si>
  <si>
    <t>СИСТЕМНЫЕ МЕТОДЫ АНАЛИЗА И СИНТЕЗА ИНТЕЛЛЕКТУАЛЬНО-АДАПТИВНОГО УПРАВЛЕНИЯ.</t>
  </si>
  <si>
    <t>Крамаров С.О., Смирнов Ю.А., Соколов С.В., Таран  В.Н.</t>
  </si>
  <si>
    <t>978-5-369-01571-1</t>
  </si>
  <si>
    <t>09.03.03, 10.04.01, 12.03.04, 20.04.01, 27.03.05, 38.04.01, 38.04.02, 38.04.05</t>
  </si>
  <si>
    <t>825535.01.01</t>
  </si>
  <si>
    <t>Системные связи норм законодательства об адм. правонаруш. РФ / С.А.Малахов - М.:НИЦ ИНФРА-М,2025. - 229 с.(О)</t>
  </si>
  <si>
    <t>СИСТЕМНЫЕ СВЯЗИ НОРМ ЗАКОНОДАТЕЛЬСТВА ОБ АДМИНИСТРАТИВНЫХ ПРАВОНАРУШЕНИЯХ РОССИЙСКОЙ ФЕДЕРАЦИИ</t>
  </si>
  <si>
    <t>Малахов С.А.</t>
  </si>
  <si>
    <t>978-5-16-019854-5</t>
  </si>
  <si>
    <t>769799.02.01</t>
  </si>
  <si>
    <t>Системный геоэкологический анализ: Моногр. / И.П.Капитальчук - М.:НИЦ ИНФРА-М,2024 - 296 с.(О)(Научная мысль)</t>
  </si>
  <si>
    <t>СИСТЕМНЫЙ ГЕОЭКОЛОГИЧЕСКИЙ АНАЛИЗ</t>
  </si>
  <si>
    <t>Капитальчук И.П., Кочуров Б.И.</t>
  </si>
  <si>
    <t>978-5-16-017424-2</t>
  </si>
  <si>
    <t>05.03.06, 05.04.02, 05.06.01</t>
  </si>
  <si>
    <t>670469.03.01</t>
  </si>
  <si>
    <t>Системный подход к оценке параметров заземляющих сетей/ М.А.Авербух-М.:НИЦ ИНФРА-М, СФУ,2024-271с(П)</t>
  </si>
  <si>
    <t>СИСТЕМНЫЙ ПОДХОД К ОЦЕНКЕ ПАРАМЕТРОВ ЗАЗЕМЛЯЮЩИХ СЕТЕЙ ЭЛЕКТРОУСТАНОВОК СЕВЕРНЫХ ПРОМЫШЛЕННЫХ КОМПЛЕКСОВ</t>
  </si>
  <si>
    <t>Авербух М.А., Забусов В.В., Пантелеев В.И.</t>
  </si>
  <si>
    <t>978-5-16-019420-2</t>
  </si>
  <si>
    <t>00.03.31, 13.03.02, 13.04.02</t>
  </si>
  <si>
    <t>666733.02.01</t>
  </si>
  <si>
    <t>Системокванты технолог.процессов в поточном строит..: Моногр. / В.М.Лебедев-М.:НИЦ ИНФРА-М,2023-203с</t>
  </si>
  <si>
    <t>СИСТЕМОКВАНТЫ ТЕХНОЛОГИЧЕСКИХ ПРОЦЕССОВ В ПОТОЧНОМ СТРОИТЕЛЬСТВЕ ОБЪЕКТОВ И КОМПЛЕКСОВ</t>
  </si>
  <si>
    <t>Лебедев В.М.</t>
  </si>
  <si>
    <t>978-5-16-018130-1</t>
  </si>
  <si>
    <t>666729.02.01</t>
  </si>
  <si>
    <t>Системотехника и системокванты строит. произв.: Моногр. / В.М.Лебедев-М.:НИЦ ИНФРА-М,2019.-226 с.(П)</t>
  </si>
  <si>
    <t>СИСТЕМОТЕХНИКА И СИСТЕМОКВАНТЫ СТРОИТЕЛЬНОГО ПРОИЗВОДСТВА</t>
  </si>
  <si>
    <t>978-5-16-013333-1</t>
  </si>
  <si>
    <t>334900.03.01</t>
  </si>
  <si>
    <t>Системы в праве и правовые процессы: Моногр. / М.Ю.Осипов -2 изд.-М.:ИЦ РИОР,НИЦ ИНФРА-М,2019-276(О)</t>
  </si>
  <si>
    <t>СИСТЕМЫ В ПРАВЕ И ПРАВОВЫЕ ПРОЦЕССЫ, ИЗД.2</t>
  </si>
  <si>
    <t>Осипов М.Ю.</t>
  </si>
  <si>
    <t>978-5-369-01804-0</t>
  </si>
  <si>
    <t>334900.07.01</t>
  </si>
  <si>
    <t>Системы в праве и правовые процессы: Моногр. / М.Ю.Осипов-3 изд.-М.:ИЦ РИОР, НИЦ ИНФРА-М,2024-348 с.(Науч.мысль)(о)</t>
  </si>
  <si>
    <t>СИСТЕМЫ В ПРАВЕ И ПРАВОВЫЕ ПРОЦЕССЫ, ИЗД.3</t>
  </si>
  <si>
    <t>978-5-369-01820-0</t>
  </si>
  <si>
    <t>334900.02.01</t>
  </si>
  <si>
    <t>Системы в праве и правовые процессы:Моногр./М.Ю.Осипов-М.:ИЦ РИОР, НИЦ ИНФРА-М,2017-282с(Науч.мысль)</t>
  </si>
  <si>
    <t>СИСТЕМЫ В ПРАВЕ И ПРАВОВЫЕ ПРОЦЕССЫ</t>
  </si>
  <si>
    <t>978-5-369-01419-6</t>
  </si>
  <si>
    <t>801570.01.01</t>
  </si>
  <si>
    <t>Следственные действия в России первой четверти XXI в.: Моногр. / Е.С.Лапин-М.:НИЦ ИНФРА-М,2024.-223 с.(п)</t>
  </si>
  <si>
    <t>СЛЕДСТВЕННЫЕ ДЕЙСТВИЯ В РОССИИ ПЕРВОЙ ЧЕТВЕРТИ XXI ВЕКА</t>
  </si>
  <si>
    <t>978-5-16-018373-2</t>
  </si>
  <si>
    <t>675396.10.01</t>
  </si>
  <si>
    <t>Следственные действия: Моногр. / С.Б.Россинский - М.:Юр.Норма, НИЦ ИНФРА-М,2023 - 240 с.(П)</t>
  </si>
  <si>
    <t>СЛЕДСТВЕННЫЕ ДЕЙСТВИЯ</t>
  </si>
  <si>
    <t>978-5-91768-889-3</t>
  </si>
  <si>
    <t>481650.12.01</t>
  </si>
  <si>
    <t>Словарь аббревиатур и акронимов рус. яз. / И.А.Елисеев - М.:НИЦ ИНФРА-М,2026 - 718 с.(Б-ка сл."ИНФРА-М")(П)</t>
  </si>
  <si>
    <t>СЛОВАРЬ АББРЕВИАТУР И АКРОНИМОВ РУССКОГО ЯЗЫКА</t>
  </si>
  <si>
    <t>Елисеев И.А.</t>
  </si>
  <si>
    <t>978-5-16-010420-1</t>
  </si>
  <si>
    <t>45.03.01, 45.03.02</t>
  </si>
  <si>
    <t>415950.05.01</t>
  </si>
  <si>
    <t>Словарь аббревиатур испан. яз./ И.А.Елисеев-М.:НИЦ ИНФРА-М,2020-160с(Б-ка малых слов. "ИНФРА-М")(О)</t>
  </si>
  <si>
    <t>СЛОВАРЬ АББРЕВИАТУР ИСПАНСКОГО ЯЗЫКА</t>
  </si>
  <si>
    <t>Елисеев И. А.</t>
  </si>
  <si>
    <t>978-5-16-006453-6</t>
  </si>
  <si>
    <t>764292.04.01</t>
  </si>
  <si>
    <t>Словарь диалектных слов в романе М. А. Шолохова "Тихий Дон" / В.Г.Маслов-М.:НИЦ ИНФРА-М,2025.-176 с.(П)</t>
  </si>
  <si>
    <t>СЛОВАРЬ ДИАЛЕКТНЫХ СЛОВ В РОМАНЕ М. А. ШОЛОХОВА "ТИХИЙ ДОН"</t>
  </si>
  <si>
    <t>Маслов В.Г., Маслов Д.Я., Мохова Е.М.</t>
  </si>
  <si>
    <t>978-5-16-017230-9</t>
  </si>
  <si>
    <t>45.03.01, 45.03.02, 45.03.03, 45.04.01, 45.04.02, 45.04.04, 45.06.01</t>
  </si>
  <si>
    <t>003655.02.01</t>
  </si>
  <si>
    <t>Словарь современной экономич. теории Макмиллана /В.С.Автономов.-М.:ИНФРА-М, 2003. -608 с.(П)</t>
  </si>
  <si>
    <t>СЛОВАРЬ СОВРЕМЕННОЙ ЭКОНОМИЧЕСКОЙ ТЕОРИИ МАКМИЛЛАНА</t>
  </si>
  <si>
    <t>Автономов В. С., Пивовар А. Г., Пирс Д. У.</t>
  </si>
  <si>
    <t>5-86225-453-6</t>
  </si>
  <si>
    <t>38.03.01, 38.03.02, 38.03.03, 38.03.04, 38.03.05, 38.03.06, 38.03.07, 38.03.10, 38.04.01, 38.04.02, 38.04.03, 38.04.04, 38.04.05, 38.04.06, 38.04.07, 38.04.08, 38.04.09, 38.04.10, 38.05.01, 38.05.02</t>
  </si>
  <si>
    <t>098050.11.01</t>
  </si>
  <si>
    <t>Словарь терминов по акушерству, гинекологии..../ Г.Д.Некрасов - М.:Форум, НИЦ ИНФРА-М,2025 -112с.(О)</t>
  </si>
  <si>
    <t>СЛОВАРЬ ТЕРМИНОВ ПО АКУШЕРСТВУ, ГИНЕКОЛОГИИ И БИОТЕХНИКЕ РАЗМНОЖЕНИЯ ЖИВОТНЫХ</t>
  </si>
  <si>
    <t>Некрасов Г. Д., Суманова И. А.</t>
  </si>
  <si>
    <t>СПО</t>
  </si>
  <si>
    <t>978-5-91134-288-3</t>
  </si>
  <si>
    <t>19.02.11, 19.02.12, 36.01.01, 36.02.01, 36.02.03</t>
  </si>
  <si>
    <t>Рекомендовано Учебно-методическим объединением вузов РФ по образованию в области зоотехнии и ветеринарии в качестве учебного пособия для студентов вузов, обучающихся по специальности 110401 "Зоотехния"</t>
  </si>
  <si>
    <t>Алтайский государственный аграрный университет</t>
  </si>
  <si>
    <t>818812.01.01</t>
  </si>
  <si>
    <t>Слово и мысль: на один шаг вперед: Моногр. / В.К.Харченко-М.:НИЦ ИНФРА-М,2024.-219 с.(Науч.мысль)(п)</t>
  </si>
  <si>
    <t>СЛОВО И МЫСЛЬ: НА ОДИН ШАГ ВПЕРЕД</t>
  </si>
  <si>
    <t>978-5-16-019621-3</t>
  </si>
  <si>
    <t>45.03.03, 45.04.01, 45.04.02, 45.04.03, 45.06.01</t>
  </si>
  <si>
    <t>714974.04.01</t>
  </si>
  <si>
    <t>Словоизменение в словацком лит.  яз.: Моногр. / К.В.Лифанов-М.:НИЦ ИНФРА-М,2024.-121с(Науч.мысль)(О)</t>
  </si>
  <si>
    <t>СЛОВОИЗМЕНЕНИЕ В СЛОВАЦКОМ ЛИТЕРАТУРНОМ ЯЗЫКЕ</t>
  </si>
  <si>
    <t>Лифанов К.В.</t>
  </si>
  <si>
    <t>978-5-16-015692-7</t>
  </si>
  <si>
    <t>45.03.01, 45.04.01, 45.04.02, 45.06.01</t>
  </si>
  <si>
    <t>221700.05.01</t>
  </si>
  <si>
    <t>Словообразовательный потенциал соматизмов "сердце"...: Моногр. / Ж.Багана-М.:НИЦ ИНФРА-М,2024.-128 с.(О)</t>
  </si>
  <si>
    <t>СЛОВООБРАЗОВАТЕЛЬНЫЙ ПОТЕНЦИАЛ СОМАТИЗМОВ "СЕРДЦЕ" И "ГОЛОВА"</t>
  </si>
  <si>
    <t>Багана Ж., Кравченко О. Н.</t>
  </si>
  <si>
    <t>978-5-16-008975-1</t>
  </si>
  <si>
    <t>722093.08.01</t>
  </si>
  <si>
    <t>Служители языческого культа в религиозной и...: Моногр. / М.Н.Козлов - М.:НИЦ ИНФРА-М,2025 - 173с(О)</t>
  </si>
  <si>
    <t>СЛУЖИТЕЛИ ЯЗЫЧЕСКОГО КУЛЬТА В РЕЛИГИОЗНОЙ И ПОЛИТИЧЕСКОЙ ЖИЗНИ ВОСТОЧНЫХ СЛАВЯН (IX-XI ВЕКА)</t>
  </si>
  <si>
    <t>978-5-16-015799-3</t>
  </si>
  <si>
    <t>746317.09.01</t>
  </si>
  <si>
    <t>Смена технологич. укладов и правовое разв. России: Моногр. / Д.А.Пашенцев - М.:Юр.Норма, НИЦ ИНФРА-М,2026-184с(П)</t>
  </si>
  <si>
    <t>СМЕНА ТЕХНОЛОГИЧЕСКИХ УКЛАДОВ И ПРАВОВОЕ РАЗВИТИЕ РОССИИ</t>
  </si>
  <si>
    <t>Пашенцев Д.А., Залоило М.В., Дорская А.А.</t>
  </si>
  <si>
    <t>978-5-00156-107-1</t>
  </si>
  <si>
    <t>704972.01.01</t>
  </si>
  <si>
    <t>Смерть нарратива: Моногр. / С.В.Борзых - М.:НИЦ ИНФРА-М,2020 - 175 с.(Науч.мысль)(О)</t>
  </si>
  <si>
    <t>СМЕРТЬ НАРРАТИВА</t>
  </si>
  <si>
    <t>978-5-16-015083-3</t>
  </si>
  <si>
    <t>47.03.01, 47.04.01, 47.04.02, 47.06.01</t>
  </si>
  <si>
    <t>323900.10.01</t>
  </si>
  <si>
    <t>Собирание доказательств по уголов. делу: пробл...: Моногр. / С.А.Шейфер - М:Норма:ИНФРА-М,2026 -112 с.(П)</t>
  </si>
  <si>
    <t>СОБИРАНИЕ ДОКАЗАТЕЛЬСТВ ПО УГОЛОВНОМУ ДЕЛУ: ПРОБЛЕМЫ ЗАКОНОДАТЕЛЬСТВА, ТЕОРИИ И ПРАКТИКИ</t>
  </si>
  <si>
    <t>Шейфер С.А.</t>
  </si>
  <si>
    <t>978-5-91768-571-7</t>
  </si>
  <si>
    <t>40.03.01, 40.05.01, 40.05.02, 40.06.01, 44.03.05</t>
  </si>
  <si>
    <t>453470.01.01</t>
  </si>
  <si>
    <t>Собрание сочинений. Т. 23. Ноябрь - декабрь 1990 / М.С. Горбачев - М.: Весь Мир, 2013. - 616 с. (п)</t>
  </si>
  <si>
    <t>СОБРАНИЕ СОЧИНЕНИЙ</t>
  </si>
  <si>
    <t>Горбачев М. С., Логинов В. Т., Королева Н. Ф.</t>
  </si>
  <si>
    <t>978-5-7777-0555-6</t>
  </si>
  <si>
    <t>41.03.04, 41.03.06, 41.04.04, 46.03.01, 46.04.01</t>
  </si>
  <si>
    <t>416988.01.01</t>
  </si>
  <si>
    <t>Собрание сочинений. Т.21. Июль - август 1990 / М.С.Горбачев; Горбачев-Фонд -М.:Весь Мир,2012-648с(П)</t>
  </si>
  <si>
    <t>978-5-7777-0518-1</t>
  </si>
  <si>
    <t>404084.01.01</t>
  </si>
  <si>
    <t>Собрание сочинений: Т. 20: Май - июнь 1990. / М.С. Горбачев - М.: Весь Мир, 2011-608с. (п)</t>
  </si>
  <si>
    <t>Горбачев М. С., Логинов В. Т., Пучкова Л. Н., Королева Н. Ф.</t>
  </si>
  <si>
    <t>978-5-7777-0508-2</t>
  </si>
  <si>
    <t>129657.01.01</t>
  </si>
  <si>
    <t>Собрание сочинений: Т.10: Март  - май 1988. / М.С. Горбачев - М.: Весь Мир, 2009. - 648 с. (п) ISBN:978-5-7777-0432-0</t>
  </si>
  <si>
    <t>978-5-7777-0432-0</t>
  </si>
  <si>
    <t>136605.01.01</t>
  </si>
  <si>
    <t>Собрание сочинений: Т.12: Сентябрь - декабрь 1988. / М.С. Горбачев - М.:Весь Мир,2009 - 600 с. (п)</t>
  </si>
  <si>
    <t>978-5-7777-0451-1</t>
  </si>
  <si>
    <t>124640.01.01</t>
  </si>
  <si>
    <t>Собрание сочинений: Т.6: Февраль - май 1987. / М.С. Горбачев - М.: Весь Мир, 2008. - 640 с. (п) ISBN:978-5-7777-0424-5</t>
  </si>
  <si>
    <t>978-5-7777-0424-5</t>
  </si>
  <si>
    <t>421500.07.01</t>
  </si>
  <si>
    <t>Собственность и право собств.: цивилистич...: Моногр. /Ю.Н.Андреев -М.:Юр.Норма, НИЦ ИНФРА-М,2023.-320 с.(П)</t>
  </si>
  <si>
    <t>СОБСТВЕННОСТЬ И ПРАВО СОБСТВЕННОСТИ: ЦИВИЛИСТИЧЕСКИЕ АСПЕКТЫ</t>
  </si>
  <si>
    <t>978-5-91768-329-4</t>
  </si>
  <si>
    <t>776612.01.01</t>
  </si>
  <si>
    <t>Событие - это… События как фундамент. основа...: Моногр. / В.П.Бочарников-М.:НИЦ ИНФРА-М,2023.-173 с.(п)</t>
  </si>
  <si>
    <t>СОБЫТИЕ - ЭТО… СОБЫТИЯ КАК ФУНДАМЕНТАЛЬНАЯ ОСНОВА ДЛЯ АНАЛИЗА СЛОЖНЫХ СИСТЕМ</t>
  </si>
  <si>
    <t>Бочарников А.П., Свешников С.В.</t>
  </si>
  <si>
    <t>978-5-16-018313-8</t>
  </si>
  <si>
    <t>38.04.02, 38.04.05</t>
  </si>
  <si>
    <t>392900.05.01</t>
  </si>
  <si>
    <t>Совершенствование банк. регул. и надзора..: Моногр. /С.Ю. Хасянова -НИЦ ИНФРА-М,2020-234(Науч.мысль)</t>
  </si>
  <si>
    <t>СОВЕРШЕНСТВОВАНИЕ БАНКОВСКОГО РЕГУЛИРОВАНИЯ И НАДЗОРА В РОССИИ НА ОСНОВЕ МЕЖДУНАРОДНЫХ ПРИНЦИПОВ</t>
  </si>
  <si>
    <t>Хасянова С.Ю.</t>
  </si>
  <si>
    <t>978-5-16-012435-3</t>
  </si>
  <si>
    <t>718545.03.01</t>
  </si>
  <si>
    <t>Совершенствование информ. обеспеч. сис..: Моногр. / Под. общ. ред.Бондаренко В.В. - М:ИНФРА-М,2025 - 255 с.(О)</t>
  </si>
  <si>
    <t>СОВЕРШЕНСТВОВАНИЕ ИНФОРМАЦИОННОГО ОБЕСПЕЧЕНИЯ СИСТЕМЫ УПРАВЛЕНИЯ КАДРАМИ НА ОСНОВЕ КОМПЕТЕНТНОСТНОГО ПОДХОДА И ИНДИВИДУАЛЬНОГО ТРЕКИНГА КАРЬЕРЫ ГОСУДАРСТВЕННЫХ ГРАЖДАНСКИХ СЛУЖАЩИХ</t>
  </si>
  <si>
    <t>Алтухова Н.Ф., Беляев А.М., Бондаренко В.В. и др.</t>
  </si>
  <si>
    <t>978-5-16-015716-0</t>
  </si>
  <si>
    <t>38.04.01, 38.04.02, 38.04.03, 38.04.04, 38.06.01, 56.05.04</t>
  </si>
  <si>
    <t>641460.03.01</t>
  </si>
  <si>
    <t>Совершенствование образоват. процесса вуза...: Моногр. / М.В.Самсонова - М.:НИЦ ИНФРА-М,2023 - 138с(О)</t>
  </si>
  <si>
    <t>СОВЕРШЕНСТВОВАНИЕ ОБРАЗОВАТЕЛЬНОГО ПРОЦЕССА ВУЗА, ОСНОВАННОГО НА КОМПЕТЕНТНОСТНОМ ПОДХОДЕ</t>
  </si>
  <si>
    <t>Самсонова М.В.</t>
  </si>
  <si>
    <t>978-5-16-013692-9</t>
  </si>
  <si>
    <t>44.03.01, 44.04.01</t>
  </si>
  <si>
    <t>Ульяновский государственный технический университет</t>
  </si>
  <si>
    <t>669732.02.01</t>
  </si>
  <si>
    <t>Совершенствование сист.колокол.газоот.на мощ.электр.Содерберга: Моногр. /С.Г.Шахрай-М.:НИЦ ИНФРА-М,СФУ,2023-146с</t>
  </si>
  <si>
    <t>СОВЕРШЕНСТВОВАНИЕ СИСТЕМ КОЛОКОЛЬНОГО ГАЗООТСОСА НА МОЩНЫХ ЭЛЕКТРОЛИЗЕРАХ СОДЕРБЕРГА</t>
  </si>
  <si>
    <t>Шахрай С.Г., Коростовенко В.В., Ребрик И.И.</t>
  </si>
  <si>
    <t>978-5-16-013347-8</t>
  </si>
  <si>
    <t>22.04.02, 22.06.01</t>
  </si>
  <si>
    <t>786600.01.01</t>
  </si>
  <si>
    <t>Совершенствование скота костромской породы..: Моногр. / А.А.Королев.-М.:НИЦ ИНФРА-М,2023.-206 с.(о)</t>
  </si>
  <si>
    <t>СОВЕРШЕНСТВОВАНИЕ СКОТА КОСТРОМСКОЙ ПОРОДЫ ПРИ ИСПОЛЬЗОВАНИИ БЫКОВ-ПРОИЗВОДИТЕЛЕЙ ОТЕЧЕСТВЕННОЙ И ИМПОРТНОЙ СЕЛЕКЦИИ</t>
  </si>
  <si>
    <t>Королев А.А., Баранова Н.С., Королева Е.А.</t>
  </si>
  <si>
    <t>978-5-16-017975-9</t>
  </si>
  <si>
    <t>36.04.02, 36.06.01</t>
  </si>
  <si>
    <t>Костромская государственная сельскохозяйственная академия</t>
  </si>
  <si>
    <t>814282.01.01</t>
  </si>
  <si>
    <t>Совместное предприним. на рынке возобновл. энергетики России: моногр. / А.И.Дудник-М.:НИЦ ИНФРА-М,2024.-181 с(о)</t>
  </si>
  <si>
    <t>СОВМЕСТНОЕ ПРЕДПРИНИМАТЕЛЬСТВО НА РЫНКЕ ВОЗОБНОВЛЯЕМОЙ ЭНЕРГЕТИКИ РОССИИ</t>
  </si>
  <si>
    <t>Дудник А.И.</t>
  </si>
  <si>
    <t>978-5-16-019389-2</t>
  </si>
  <si>
    <t>682553.05.01</t>
  </si>
  <si>
    <t>Современная англоязычная лит.: традиции и эксп.: Моногр. / Г.И.Лушникова - М.:НИЦ ИНФРА-М,2024-170с.(о)</t>
  </si>
  <si>
    <t>СОВРЕМЕННАЯ АНГЛОЯЗЫЧНАЯ ЛИТЕРАТУРА: ТРАДИЦИИ И ЭКСПЕРИМЕНТ</t>
  </si>
  <si>
    <t>Лушникова Г.И., Осадчая Т.Ю.</t>
  </si>
  <si>
    <t>978-5-16-017904-9</t>
  </si>
  <si>
    <t>45.04.01, 45.04.02, 51.04.01</t>
  </si>
  <si>
    <t>846728.01.01</t>
  </si>
  <si>
    <t>Современная история добровольчества в России: Моногр. / Н.И.Горлова - М.:НИЦ ИНФРА-М,2025. - 194 с.(п)</t>
  </si>
  <si>
    <t>СОВРЕМЕННАЯ ИСТОРИЯ ДОБРОВОЛЬЧЕСТВА В РОССИИ: КОНЕЦ ХХ-ВТОРОЕ ДЕСЯТИЛЕТИЕ ХХI ВВ.</t>
  </si>
  <si>
    <t>Горлова Н.И.</t>
  </si>
  <si>
    <t>978-5-16-020664-6</t>
  </si>
  <si>
    <t>39.03.03, 41.03.04, 41.03.06, 41.04.02, 41.04.04, 41.04.06, 46.03.01, 46.04.01</t>
  </si>
  <si>
    <t>798671.04.01</t>
  </si>
  <si>
    <t>Современная концепция взаимодействия междунар.../Капустин А.Я.-М.:Юр. НОРМА, НИЦ ИНФРА-М, 2024-336 с.(П)</t>
  </si>
  <si>
    <t>СОВРЕМЕННАЯ КОНЦЕПЦИЯ ВЗАИМОДЕЙСТВИЯ МЕЖДУНАРОДНОГО И ВНУТРИГОСУДАРСТВЕННОГО ПРАВА В СВЕТЕ ВНЕСЕННЫХ ПОПРАВОК В КОНСТИТУЦИЮ РФ</t>
  </si>
  <si>
    <t>Капустин А.Я., Авхадеев В.Р., Азнагулова Г.М. и др.</t>
  </si>
  <si>
    <t>978-5-00156-287-0</t>
  </si>
  <si>
    <t>732748.05.01</t>
  </si>
  <si>
    <t>Современная концепция применения...: Моногр. / А.Я.Капустин - М.:Юр.Норма, НИЦ ИНФРА-М,2025 - 224 с.(П)</t>
  </si>
  <si>
    <t>СОВРЕМЕННАЯ КОНЦЕПЦИЯ ПРИМЕНЕНИЯ МЕЖДУНАРОДНЫХ ДОГОВОРОВ</t>
  </si>
  <si>
    <t>Капустин А.Я., Шульга С.В., Шулятьев И.А. и др.</t>
  </si>
  <si>
    <t>978-5-00156-057-9</t>
  </si>
  <si>
    <t>774793.03.01</t>
  </si>
  <si>
    <t>Современная концепция социального государства: Моногр. / А.А.Клишас-М.:Юр. НОРМА,2023.-288 с.(П)</t>
  </si>
  <si>
    <t>СОВРЕМЕННАЯ КОНЦЕПЦИЯ СОЦИАЛЬНОГО ГОСУДАРСТВА</t>
  </si>
  <si>
    <t>Клишас А.А.,</t>
  </si>
  <si>
    <t>978-5-00156-229-0</t>
  </si>
  <si>
    <t>767422.04.01</t>
  </si>
  <si>
    <t>Современная концепция толкования... / Под ред. Капустина А.Я. - М.:Юр. НОРМА, НИЦ ИНФРА-М,2025 - 432 с.(П)</t>
  </si>
  <si>
    <t>СОВРЕМЕННАЯ КОНЦЕПЦИЯ ТОЛКОВАНИЯ МЕЖДУНАРОДНЫХ ДОГОВОРОВ</t>
  </si>
  <si>
    <t>Капустин А.Я., Авхадеев В.Р., Азнагулова Г. и др.</t>
  </si>
  <si>
    <t>978-5-00156-208-5</t>
  </si>
  <si>
    <t>40.05.01, 40.05.02, 40.05.03, 40.05.04, 40.06.01, 41.03.01, 41.03.05, 41.04.05, 42.03.02</t>
  </si>
  <si>
    <t>814781.01.01</t>
  </si>
  <si>
    <t>Современная рус. оригинальная рок-поэзия: Моногр. /Е.В.Локтевич-М.:НИЦ ИНФРА-М,2024.-199 с.(Науч.мысль)(п)</t>
  </si>
  <si>
    <t>СОВРЕМЕННАЯ РУССКАЯ ОРИГИНАЛЬНАЯ РОК-ПОЭЗИЯ: ТРАНСФОРМАЦИЯ СУБЪЕКТНОЙ ПАРАДИГМЫ</t>
  </si>
  <si>
    <t>Локтевич Е.В.</t>
  </si>
  <si>
    <t>978-5-16-019246-8</t>
  </si>
  <si>
    <t>44.04.01, 45.03.01, 45.03.99, 45.04.01, 45.06.01, 45.07.01, 52.05.04</t>
  </si>
  <si>
    <t>685793.02.01</t>
  </si>
  <si>
    <t>Современная теория разрушения деформируемых матер.: Моногр. / Л.Е.Басовский-М.:НИЦ ИНФРА-М,2022-141с</t>
  </si>
  <si>
    <t>СОВРЕМЕННАЯ ТЕОРИЯ РАЗРУШЕНИЯ ДЕФОРМИРУЕМЫХ МАТЕРИАЛОВ</t>
  </si>
  <si>
    <t>Басовский Л.Е.</t>
  </si>
  <si>
    <t>978-5-16-014281-4</t>
  </si>
  <si>
    <t>04.03.02, 22.03.01</t>
  </si>
  <si>
    <t>738107.05.01</t>
  </si>
  <si>
    <t>Современная технология обуч. ин. яз.: Моногр. / Т.Ю.Ломакина - М.:НИЦ ИНФРА-М,2023. - 194 с.(Науч.мысль)(О)</t>
  </si>
  <si>
    <t>СОВРЕМЕННАЯ ТЕХНОЛОГИЯ ОБУЧЕНИЯ ИНОСТРАННОМУ ЯЗЫКУ: ПРОЕКТИРОВАНИЕ И ОПЫТ</t>
  </si>
  <si>
    <t>Ломакина Т.Ю., Васильченко Н.В.</t>
  </si>
  <si>
    <t>978-5-16-016355-0</t>
  </si>
  <si>
    <t>44.03.01, 44.03.05, 44.04.01, 44.04.02, 44.04.04, 44.06.01</t>
  </si>
  <si>
    <t>823168.01.01</t>
  </si>
  <si>
    <t>Современное геополитическое положение РФ... / Под ред. Секушин В.И.-М.:НИЦ ИНФРА-М,2023.-94 с.(о)</t>
  </si>
  <si>
    <t>СОВРЕМЕННОЕ ГЕОПОЛИТИЧЕСКОЕ ПОЛОЖЕНИЕ РОССИЙСКОЙ ФЕДЕРАЦИИ: ИНФОРМАЦИОННО-АНАЛИТИЧЕСКИЙ ОБЗОР</t>
  </si>
  <si>
    <t>Секушин В.И.</t>
  </si>
  <si>
    <t>978-5-16-019716-6</t>
  </si>
  <si>
    <t>41.03.01, 41.03.02, 41.04.04, 41.04.06, 41.06.01</t>
  </si>
  <si>
    <t>826536.01.01</t>
  </si>
  <si>
    <t>Современное государство: подходы к осмыслению сущности...: Моногр. / А.Ю.Филин - М.:НИЦ ИНФРА-М,2025-174 с.(о)</t>
  </si>
  <si>
    <t>СОВРЕМЕННОЕ ГОСУДАРСТВО: ПОДХОДЫ К ОСМЫСЛЕНИЮ СУЩНОСТИ, ФОРМЫ И СОДЕРЖАНИЯ</t>
  </si>
  <si>
    <t>Филин А.Ю.</t>
  </si>
  <si>
    <t>978-5-16-019856-9</t>
  </si>
  <si>
    <t>083370.10.01</t>
  </si>
  <si>
    <t>Современное государство:вопросы теории / А.Д.Керимов - М.:Юр.Норма, НИЦ ИНФРА-М,2024.-144 с.(П)</t>
  </si>
  <si>
    <t>СОВРЕМЕННОЕ ГОСУДАРСТВО</t>
  </si>
  <si>
    <t>978-5-91768-817-6</t>
  </si>
  <si>
    <t>668783.07.01</t>
  </si>
  <si>
    <t>Современное доп. образование взрослых: Моногр. / Под ред. Данилова С.В. - М.:НИЦ ИНФРА-М,2025. - 203с(П)</t>
  </si>
  <si>
    <t>СОВРЕМЕННОЕ ДОПОЛНИТЕЛЬНОЕ ОБРАЗОВАНИЕ ВЗРОСЛЫХ</t>
  </si>
  <si>
    <t>Данилов С.В., Глебова З.В., Дуброва Т.И. и др.</t>
  </si>
  <si>
    <t>978-5-16-013484-0</t>
  </si>
  <si>
    <t>44.03.04, 44.03.05, 44.04.01</t>
  </si>
  <si>
    <t>404950.06.01</t>
  </si>
  <si>
    <t>Современное право: теория и методология: Моногр. / Под ред. Лапаева В.В.-М.:Юр. НОРМА, НИЦ ИНФРА-М,2024.-304 с.(п)</t>
  </si>
  <si>
    <t>СОВРЕМЕННОЕ ПРАВО: ТЕОРИЯ И МЕТОДОЛОГИЯ</t>
  </si>
  <si>
    <t>Нерсесян В. С., Лапаева В. В.</t>
  </si>
  <si>
    <t>978-5-91768-307-2</t>
  </si>
  <si>
    <t>38.04.04, 40.03.01, 40.04.01, 41.03.04, 41.03.06, 44.03.05</t>
  </si>
  <si>
    <t>396900.09.01</t>
  </si>
  <si>
    <t>Современное правопонимание: Курс лекций / М.Н.Марченко - М.:Юр.Норма, НИЦ ИНФРА-М,2026 - 368с.(п)</t>
  </si>
  <si>
    <t>СОВРЕМЕННОЕ ПРАВОПОНИМАНИЕ</t>
  </si>
  <si>
    <t>Марченко М.Н., Ершов В.В., Ершова Е.А. и др.</t>
  </si>
  <si>
    <t>978-5-91768-656-1</t>
  </si>
  <si>
    <t>764218.05.01</t>
  </si>
  <si>
    <t>Современное российское государство: очерки: Моногр. / Н.А.Власенко - М.:Юр.Норма,2025 - 152 с.(П)</t>
  </si>
  <si>
    <t>СОВРЕМЕННОЕ РОССИЙСКОЕ ГОСУДАРСТВО: ОЧЕРКИ</t>
  </si>
  <si>
    <t>978-5-00156-193-4</t>
  </si>
  <si>
    <t>779606.02.01</t>
  </si>
  <si>
    <t>Современное состояние и проблемы идент. в судеб. баллистике: Моногр./ А.В.Кокин-М.:НИЦ ИНФРА-М,2024-220с.(п)</t>
  </si>
  <si>
    <t>СОВРЕМЕННОЕ СОСТОЯНИЕ И ПРОБЛЕМЫ ИДЕНТИФИКАЦИИ В СУДЕБНОЙ БАЛЛИСТИКЕ</t>
  </si>
  <si>
    <t>Кокин А.В.</t>
  </si>
  <si>
    <t>978-5-16-017763-2</t>
  </si>
  <si>
    <t>40.03.01, 40.04.01, 40.05.01, 40.05.03, 40.06.01</t>
  </si>
  <si>
    <t>766878.01.01</t>
  </si>
  <si>
    <t>Современное юридическое образование: Моногр. / В.В.Блажеев.-М.:Юр.Норма, НИЦ ИНФРА-М,2022.-400 с.(П)</t>
  </si>
  <si>
    <t>СОВРЕМЕННОЕ ЮРИДИЧЕСКОЕ ОБРАЗОВАНИЕ: ТРАДИЦИИ И ИННОВАЦИИ УНИВЕРСИТЕТА ИМЕНИ О.Е.КУТАФИНА (МГЮА)</t>
  </si>
  <si>
    <t>Блажеев В.В., Мажорина М.В., Агафонов В.Б. и др.</t>
  </si>
  <si>
    <t>978-5-00156-203-0</t>
  </si>
  <si>
    <t>690261.01.01</t>
  </si>
  <si>
    <t>Современные аспекты экологической медицины...: Моногр. / Е.В.Евстафьева-М.:НИЦ ИНФРА-М,2023.-251 с.(П)</t>
  </si>
  <si>
    <t>СОВРЕМЕННЫЕ АСПЕКТЫ ЭКОЛОГИЧЕСКОЙ МЕДИЦИНЫ: ТЕОРИЯ И ПРАКТИКА НА КРЫМСКОМ ПОЛУОСТРОВЕ</t>
  </si>
  <si>
    <t>Евстафьева Е.В., Артов А.М., Богданова А.М. и др.</t>
  </si>
  <si>
    <t>978-5-16-018182-0</t>
  </si>
  <si>
    <t>31.05.01, 31.05.02</t>
  </si>
  <si>
    <t>Академический научно-исследовательский институт физических методов лечения, медицинской климатологии</t>
  </si>
  <si>
    <t>670292.02.01</t>
  </si>
  <si>
    <t>Современные вызовы юр. проф. и юрид.образования /Под ред. Тарасовой А.Е.-М.:НИЦ ИНФРА-М,2019-140с(О)</t>
  </si>
  <si>
    <t>СОВРЕМЕННЫЕ ВЫЗОВЫ ЮРИДИЧЕСКОЙ ПРОФЕССИИ И ЮРИДИЧЕСКОГО ОБРАЗОВАНИЯ</t>
  </si>
  <si>
    <t>Тарасова А.Е., Бардин Л.Н., Шимбарева Н.Г. и др.</t>
  </si>
  <si>
    <t>978-5-16-013481-9</t>
  </si>
  <si>
    <t>818126.04.01</t>
  </si>
  <si>
    <t>Современные концеп. верхов. права и правового гос..../ Т.Я.Хабриева. - М.:Юр. НОРМА, НИЦ ИНФРА-М,2025. - 416 с.(п)</t>
  </si>
  <si>
    <t>СОВРЕМЕННЫЕ КОНЦЕПЦИИ ВЕРХОВЕНСТВА ПРАВА И ПРАВОВОГО ГОСУДАРСТВА:  СРАВНИТЕЛЬНО-ПРАВОВОЕ ИССЛЕДОВАНИЕ</t>
  </si>
  <si>
    <t>Хабриева Т.Я., Ковлер А.И., Чиркин С.В. и др.</t>
  </si>
  <si>
    <t>978-5-00156-346-4</t>
  </si>
  <si>
    <t>750651.01.01</t>
  </si>
  <si>
    <t>Современные отношения власти и бизнеса...: Монография / А.В.Брега-М.:НИЦ ИНФРА-М,2022.-209 с.(О)</t>
  </si>
  <si>
    <t>СОВРЕМЕННЫЕ ОТНОШЕНИЯ ВЛАСТИ И БИЗНЕСА: ЗАРУБЕЖНЫЙ И ОТЕЧЕСТВЕННЫЙ ОПЫТ</t>
  </si>
  <si>
    <t>Брега А.В., Брега Г.В.</t>
  </si>
  <si>
    <t>978-5-16-017300-9</t>
  </si>
  <si>
    <t>235400.05.01</t>
  </si>
  <si>
    <t>Современные парадигмы и методы анализа и контр. бюджет..: Моногр./Н.А.Казакова - ИНФРА-М, 2024-270с.</t>
  </si>
  <si>
    <t>СОВРЕМЕННЫЕ ПАРАДИГМЫ И МЕТОДЫ АНАЛИЗА И КОНТРОЛЯ БЮДЖЕТНОЙ ЭФФЕКТИВНОСТИ</t>
  </si>
  <si>
    <t>Казакова Н. А., Федченко Е. А., Трофимова Л. Б.</t>
  </si>
  <si>
    <t>978-5-16-009145-7</t>
  </si>
  <si>
    <t>38.03.01, 38.03.02, 38.04.01, 38.04.02, 38.04.04, 38.06.01</t>
  </si>
  <si>
    <t>451250.05.01</t>
  </si>
  <si>
    <t>Современные пробл. менедж. в междун. бизнесе: Моногр./В.И.Королев - Магистр: ИНФРА-М, 2023-400с.(п)</t>
  </si>
  <si>
    <t>СОВРЕМЕННЫЕ ПРОБЛЕМЫ МЕНЕДЖМЕНТА В МЕЖДУНАРОДНОМ БИЗНЕСЕ</t>
  </si>
  <si>
    <t>Королев В. И., Зайцев Л. Г., Заикин А. Д., Королев В. И.</t>
  </si>
  <si>
    <t>978-5-9776-0291-4</t>
  </si>
  <si>
    <t>07.03.03, 19.03.04, 23.03.01, 27.03.02, 29.03.02, 35.03.03, 35.03.04, 35.03.09, 38.03.01, 38.03.02, 38.04.01, 38.04.02, 41.03.06, 42.03.01, 44.03.01, 44.03.05, 45.03.01, 45.03.03, 51.03.01, 51.03.02</t>
  </si>
  <si>
    <t>665755.03.01</t>
  </si>
  <si>
    <t>Современные проблемы естест.-матем. образ.в период.:Моногр./ В.В.Артемьева-М.:НИЦ ИНФРА-М,2023-200с.</t>
  </si>
  <si>
    <t>СОВРЕМЕННЫЕ ПРОБЛЕМЫ ЕСТЕСТВЕННО-МАТЕМАТИЧЕСКОГО ОБРАЗОВАНИЯ В ПЕРИОД ДЕТСТВА</t>
  </si>
  <si>
    <t>Артемьева В.В., Бывшева М.В., Волкова Н.А. и др.</t>
  </si>
  <si>
    <t>978-5-16-013271-6</t>
  </si>
  <si>
    <t>44.03.01, 44.03.02, 44.03.05</t>
  </si>
  <si>
    <t>708392.02.01</t>
  </si>
  <si>
    <t>Современные проблемы педагогики и образ.: Моногр. / Я.С.Турбовской-М.:НИЦ ИНФРА-М,2023.-320 с.(П)</t>
  </si>
  <si>
    <t>СОВРЕМЕННЫЕ ПРОБЛЕМЫ ПЕДАГОГИКИ И ОБРАЗОВАНИЯ</t>
  </si>
  <si>
    <t>978-5-16-015285-1</t>
  </si>
  <si>
    <t>44.03.01, 44.03.02, 44.03.04, 44.03.05, 44.04.01, 44.04.02, 44.04.04, 44.06.01</t>
  </si>
  <si>
    <t>448400.09.01</t>
  </si>
  <si>
    <t>Современные программы матем. обр. дош.: Моногр. / А.В.Белошистая - 2 изд. - М.:НИЦ ИНФРА-М,2026 - 252 с. (о)</t>
  </si>
  <si>
    <t>СОВРЕМЕННЫЕ ПРОГРАММЫ МАТЕМАТИЧЕСКОГО ОБРАЗОВАНИЯ ДОШКОЛЬНИКОВ, ИЗД.2</t>
  </si>
  <si>
    <t>Практическая педагогика</t>
  </si>
  <si>
    <t>978-5-16-019235-2</t>
  </si>
  <si>
    <t>44.02.01, 44.03.01, 44.03.05, 44.04.01, 44.04.04</t>
  </si>
  <si>
    <t>654574.06.01</t>
  </si>
  <si>
    <t>Современные работники: личностные характер., особенности обуч.: Моногр. - М.:НИЦ ИНФРА-М,2023-142с(О)</t>
  </si>
  <si>
    <t>СОВРЕМЕННЫЕ РАБОТНИКИ: ЛИЧНОСТНЫЕ ХАРАКТЕРИСТИКИ, ОСОБЕННОСТИ ОБУЧЕНИЯ</t>
  </si>
  <si>
    <t>978-5-16-012747-7</t>
  </si>
  <si>
    <t>23.03.01, 38.03.01, 38.03.02, 38.03.03, 38.03.04, 38.04.02, 38.04.03, 41.03.06, 44.03.01, 51.03.02</t>
  </si>
  <si>
    <t>287700.04.01</t>
  </si>
  <si>
    <t>Современные тенденции развития и антикриз...: Моногр. / Под ред. Рубцова Б.Б.-М.:НИЦ ИНФРА-М,2021.-180 с.(П)</t>
  </si>
  <si>
    <t>СОВРЕМЕННЫЕ ТЕНДЕНЦИИ РАЗВИТИЯ И АНТИКРИЗИСНОГО РЕГУЛИРОВАНИЯ ФИНАНСОВО-ЭКОНОМИЧЕСКОЙ СИСТЕМЫ</t>
  </si>
  <si>
    <t>Рубцов Б.Б., Рубцов Б.Б., Селезнев П.С.</t>
  </si>
  <si>
    <t>978-5-16-009990-3</t>
  </si>
  <si>
    <t>38.03.01, 38.03.02, 38.04.01, 38.04.02, 38.04.08, 44.03.05</t>
  </si>
  <si>
    <t>342700.06.01</t>
  </si>
  <si>
    <t>Современные технол.обраб.металлов и сплавов: Сб.науч.-тех.ст./Баберцян С.А. - М.:НИЦ ИНФРА-М,2025 - 252 с.(О)</t>
  </si>
  <si>
    <t>СОВРЕМЕННЫЕ ТЕХНОЛОГИИ ОБРАБОТКИ МЕТАЛЛОВ И СПЛАВОВ</t>
  </si>
  <si>
    <t>Баберцян С.А., Бекетов А.Б., Беспалов А.В. и др.</t>
  </si>
  <si>
    <t>978-5-16-010767-7</t>
  </si>
  <si>
    <t>15.02.01, 15.02.16, 15.02.17, 15.03.05, 15.06.01, 22.04.01, 22.04.02</t>
  </si>
  <si>
    <t>654651.03.01</t>
  </si>
  <si>
    <t>Современные технологии кадрового менеджмента..: Моногр. / О.Л.Чуланова-М.:НИЦ ИНФРА-М,2020-364с(П)</t>
  </si>
  <si>
    <t>СОВРЕМЕННЫЕ ТЕХНОЛОГИИ КАДРОВОГО МЕНЕДЖМЕНТА: АКТУАЛИЗАЦИЯ В РОССИЙСКОЙ ПРАКТИКЕ, ВОЗМОЖНОСТИ, РИСКИ</t>
  </si>
  <si>
    <t>978-5-16-012782-8</t>
  </si>
  <si>
    <t>23.03.01, 38.03.01, 38.03.03, 38.04.03, 41.03.06, 44.03.01, 51.03.02</t>
  </si>
  <si>
    <t>819114.01.01</t>
  </si>
  <si>
    <t>Современные технологии толстокишечной эзофагопластики у детей/ М.Г.Чепурной-М.:НИЦ ИНФРА-М,2025.-180 с.(о)</t>
  </si>
  <si>
    <t>СОВРЕМЕННЫЕ ТЕХНОЛОГИИ ТОЛСТОКИШЕЧНОЙ ЭЗОФАГОПЛАСТИКИ У ДЕТЕЙ</t>
  </si>
  <si>
    <t>Чепурной М.Г.</t>
  </si>
  <si>
    <t>978-5-16-019685-5</t>
  </si>
  <si>
    <t>31.05.02</t>
  </si>
  <si>
    <t>766525.03.01</t>
  </si>
  <si>
    <t>Современные электромонтажные изделия и устройства... / Ю.Д.Сибикин, - 2 изд.,-М.:НИЦ ИНФРА-М,2025.-510 с.</t>
  </si>
  <si>
    <t>СОВРЕМЕННЫЕ ЭЛЕКТРОМОНТАЖНЫЕ ИЗДЕЛИЯ И УСТРОЙСТВА НА НАПРЯЖЕНИЕ ДО 1000 ВОЛЬТ, ИЗД.2</t>
  </si>
  <si>
    <t>Сибикин Ю.Д.</t>
  </si>
  <si>
    <t>978-5-16-017538-6</t>
  </si>
  <si>
    <t>08.01.31</t>
  </si>
  <si>
    <t>289400.01.01</t>
  </si>
  <si>
    <t>Современный конституцион.: вызовы и перспективы /В.Д.Зорькин -М.:Юр.Норма,НИЦ ИНФРА-М,2016-480с.(П)</t>
  </si>
  <si>
    <t>СОВРЕМЕННЫЙ КОНСТИТУЦИОНАЛИЗМ: ВЫЗОВЫ И ПЕРСПЕКТИВЫ</t>
  </si>
  <si>
    <t>978-5-91768-514-4</t>
  </si>
  <si>
    <t>Материалы конференции (съезда, симпозиума)</t>
  </si>
  <si>
    <t>776548.05.01</t>
  </si>
  <si>
    <t>Современный подход к инвентаризации...: Моногр. / А.А.Позов - М.:Магистр, НИЦ ИНФРА-М,2026. - 224 с.(П)</t>
  </si>
  <si>
    <t>СОВРЕМЕННЫЙ ПОДХОД К ИНВЕНТАРИЗАЦИИ: КАК ДОСТИЧЬ ВЫСОКОЙ ТОЧНОСТИ СКЛАДСКИХ ОСТАТКОВ?</t>
  </si>
  <si>
    <t>Позов А.А.</t>
  </si>
  <si>
    <t>978-5-9776-0543-4</t>
  </si>
  <si>
    <t>405950.12.01</t>
  </si>
  <si>
    <t>Современный словарь по общественным наукам / О.Г.Данильян - М.:НИЦ ИНФРА-М,2025 - 314 с(П)</t>
  </si>
  <si>
    <t>СОВРЕМЕННЫЙ СЛОВАРЬ ПО ОБЩЕСТВЕННЫМ НАУКАМ</t>
  </si>
  <si>
    <t>Данильян О.Г.</t>
  </si>
  <si>
    <t>978-5-16-005612-8</t>
  </si>
  <si>
    <t>Юридическая академия Украины им. Ярослава Мудрого</t>
  </si>
  <si>
    <t>109000.15.01</t>
  </si>
  <si>
    <t>Современный социоэкономич. словарь / Б.А. Райзберг. -ИНФРА-М, 2024. -629с.(Б-ка слов. "ИНФРА-М") (п)</t>
  </si>
  <si>
    <t>СОВРЕМЕННЫЙ СОЦИОЭКОНОМИЧЕСКИЙ СЛОВАРЬ</t>
  </si>
  <si>
    <t>Райзберг Б. А.</t>
  </si>
  <si>
    <t>978-5-16-003670-0</t>
  </si>
  <si>
    <t>38.03.01, 38.03.02, 39.03.01</t>
  </si>
  <si>
    <t>Московская Школа Экономики</t>
  </si>
  <si>
    <t>002238.26.01</t>
  </si>
  <si>
    <t>Современный эконом. словарь / Б.А.Райзберг - 6 изд. - М.:НИЦ ИНФРА-М,2025 - 512 с. - (Б-ка сл."ИНФРА-М")(П)</t>
  </si>
  <si>
    <t>СОВРЕМЕННЫЙ ЭКОНОМИЧЕСКИЙ СЛОВАРЬ, ИЗД.6</t>
  </si>
  <si>
    <t>Райзберг Б.А., Лозовский Л.Ш., Стародубцева Е.Б. и др.</t>
  </si>
  <si>
    <t>978-5-16-009966-8</t>
  </si>
  <si>
    <t>00.03.13, 00.05.13, 38.03.01, 38.03.02, 38.03.03, 38.03.04, 38.03.05, 38.03.06, 38.03.07, 38.03.10, 38.04.08, 38.04.09, 38.05.01, 38.05.02</t>
  </si>
  <si>
    <t>0608</t>
  </si>
  <si>
    <t>691911.03.01</t>
  </si>
  <si>
    <t>Создание защитных и упрочняющих покрытий...: Моногр. / М.В.Радченко.-М.:НИЦ ИНФРА-М,2024-252с.-(П)</t>
  </si>
  <si>
    <t>СОЗДАНИЕ ЗАЩИТНЫХ И УПРОЧНЯЮЩИХ ПОКРЫТИЙ МЕТОДАМИ ЭЛЕКТРОННО-ЛУЧЕВОЙ ОБРАБОТКИ В ВАКУУМЕ</t>
  </si>
  <si>
    <t>Радченко М.В., Шевцов Ю.О., Радченко Т.Б.</t>
  </si>
  <si>
    <t>978-5-16-014712-3</t>
  </si>
  <si>
    <t>22.03.01, 22.04.01, 22.06.01</t>
  </si>
  <si>
    <t>Алтайский государственный технический университет им. И.И. Ползунова</t>
  </si>
  <si>
    <t>824531.01.01</t>
  </si>
  <si>
    <t>Создание условий для развития устойчивой и безопас. информ... / А.В.Барков. - М.:НИЦ ИНФРА-М,2025 - 177 с.(о)</t>
  </si>
  <si>
    <t>СОЗДАНИЕ УСЛОВИЙ ДЛЯ РАЗВИТИЯ УСТОЙЧИВОЙ И БЕЗОПАСНОЙ ИНФОРМАЦИОННО-ТЕЛЕКОММУНИКАЦИОННОЙ ИНФРАСТРУКТУРЫ</t>
  </si>
  <si>
    <t>Барков А.В., Белоусов А.Л., Ильин В.П. и др.</t>
  </si>
  <si>
    <t>978-5-16-020224-2</t>
  </si>
  <si>
    <t>40.04.01, 40.05.01, 40.05.02, 40.05.04</t>
  </si>
  <si>
    <t>001458.09.01</t>
  </si>
  <si>
    <t>Сократ: Моногр. / В.С. Нерсесянц. - 2 изд. - М.: Норма:  НИЦ Инфра-М, 2025. - 240 с. (о)</t>
  </si>
  <si>
    <t>СОКРАТ, ИЗД.2</t>
  </si>
  <si>
    <t>978-5-91768-305-8</t>
  </si>
  <si>
    <t>47.03.01, 47.03.02, 47.03.03, 47.04.01, 47.04.02, 47.04.03</t>
  </si>
  <si>
    <t>001458.10.01</t>
  </si>
  <si>
    <t>Сократ: Моногр/ / В.С. Нерсесянц. - 2 изд. - М.: Норма:  НИЦ Инфра-М, 2025. - 240 с. (о)</t>
  </si>
  <si>
    <t>СОКРАТ</t>
  </si>
  <si>
    <t>0196</t>
  </si>
  <si>
    <t>349900.0022.01</t>
  </si>
  <si>
    <t>Солнечно-земная физика, 2020, том 6, № 2</t>
  </si>
  <si>
    <t>СОЛНЕЧНО-ЗЕМНАЯ ФИЗИКА, 2020, ТОМ 6, № 2</t>
  </si>
  <si>
    <t>Институт солнечно-земной физики СО РАН</t>
  </si>
  <si>
    <t>670748.04.01</t>
  </si>
  <si>
    <t>Сорбционное извл. золота из растворов и пульп..: Моногр. / О.Н.Кононова - М.:НИЦ ИНФРА-М,СФУ,2025 - 198 с.(п)</t>
  </si>
  <si>
    <t>СОРБЦИОННОЕ ИЗВЛЕЧЕНИЕ ЗОЛОТА ИЗ РАСТВОРОВ И ПУЛЬП. ХИМИЗМ ПРОЦЕССА, СЕЛЕКТИВНОСТЬ, ТЕХНОЛОГИЯ</t>
  </si>
  <si>
    <t>Кононова О.Н., Холмогоров А.Г., Кононов Ю.С.</t>
  </si>
  <si>
    <t>978-5-16-017958-2</t>
  </si>
  <si>
    <t>22.04.01, 22.04.02</t>
  </si>
  <si>
    <t>641742.03.01</t>
  </si>
  <si>
    <t>Состояние и перспект.внешнеторгового...: Моногр. / А.Е.Суглобов-М.:ИЦ РИОР,НИЦ ИНФРА-М,2020-140с.(О)</t>
  </si>
  <si>
    <t>СОСТОЯНИЕ И ПЕРСПЕКТИВЫ ВНЕШНЕТОРГОВОГО ПОТЕНЦИАЛА РОССИИ НА МИРОВОМ  РЫНКЕ ЛЕСА</t>
  </si>
  <si>
    <t>Суглобов А.Е., Мантусов В.Б., Кузминых Ю.В. и др.</t>
  </si>
  <si>
    <t>978-5-369-01602-2</t>
  </si>
  <si>
    <t>35.03.01, 35.04.01, 38.03.01, 38.03.04, 41.03.05, 44.03.05</t>
  </si>
  <si>
    <t>778301.02.01</t>
  </si>
  <si>
    <t>Состязательность в рос. гражданском процессе / М.А.Алиэскеров-М.:Юр. НОРМА, НИЦ ИНФРА-М,2024.-288 с.(П)</t>
  </si>
  <si>
    <t>СОСТЯЗАТЕЛЬНОСТЬ В РОССИЙСКОМ ГРАЖДАНСКОМ ПРОЦЕССЕ</t>
  </si>
  <si>
    <t>Алиэскеров М.А.</t>
  </si>
  <si>
    <t>978-5-00156-148-4</t>
  </si>
  <si>
    <t>Калужский областной суд</t>
  </si>
  <si>
    <t>693972.03.01</t>
  </si>
  <si>
    <t>Состязательный гражданский процесс в прав. соц. гос.: Моногр. / М.А.Алиэскеров-М.:Юр.Норма, НИЦ ИНФРА-М,2022.-240 с.(П)</t>
  </si>
  <si>
    <t>СОСТЯЗАТЕЛЬНЫЙ ГРАЖДАНСКИЙ ПРОЦЕСС В ПРАВОВОМ СОЦИАЛЬНОМ ГОСУДАРСТВЕ</t>
  </si>
  <si>
    <t>978-5-91768-971-5</t>
  </si>
  <si>
    <t>706936.05.01</t>
  </si>
  <si>
    <t>Сотворчество в муз. искусстве и муз. обр.: Моногр. / Е.Ю.Куприна - М.:НИЦ ИНФРА-М,2026 - 320 с.(Науч.мысль)(О)</t>
  </si>
  <si>
    <t>СОТВОРЧЕСТВО В МУЗЫКАЛЬНОМ ИСКУССТВЕ И МУЗЫКАЛЬНОМ ОБРАЗОВАНИИ</t>
  </si>
  <si>
    <t>Куприна Е.Ю.</t>
  </si>
  <si>
    <t>978-5-16-015179-3</t>
  </si>
  <si>
    <t>53.04.01, 53.04.02, 53.04.03, 53.04.04, 53.04.06, 53.05.01, 53.05.02, 53.05.05, 53.09.01, 53.09.02, 53.09.03, 53.09.04, 53.09.05</t>
  </si>
  <si>
    <t>639312.03.01</t>
  </si>
  <si>
    <t>Социалистическая и радикал.традиц.в литер.США:Моногр./Б.А.Гиленсон- 2 изд.-М.:НИЦ ИНФРА-М,2023-390с.</t>
  </si>
  <si>
    <t>СОЦИАЛИСТИЧЕСКАЯ И РАДИКАЛЬНАЯ ТРАДИЦИИ В ЛИТЕРАТУРЕ США, ИЗД.2</t>
  </si>
  <si>
    <t>978-5-16-012269-4</t>
  </si>
  <si>
    <t>651868.06.01</t>
  </si>
  <si>
    <t>Социалистические системы: / В.Парето - М.:ИЦ РИОР, НИЦ ИНФРА-М,2025 - 716 с.(Vilfredo Pareto)(П)</t>
  </si>
  <si>
    <t>СОЦИАЛИСТИЧЕСКИЕ СИСТЕМЫ</t>
  </si>
  <si>
    <t>Парето В.</t>
  </si>
  <si>
    <t>Vilfredo Pareto</t>
  </si>
  <si>
    <t>978-5-369-01774-6</t>
  </si>
  <si>
    <t>40.03.01, 40.04.01, 41.03.04, 41.03.06, 41.04.04, 44.03.01, 44.03.05, 47.03.01, 51.03.01</t>
  </si>
  <si>
    <t>455300.08.01</t>
  </si>
  <si>
    <t>Социальная география РФ: Моногр. / В.В.Воронин - 2 изд. - М.:НИЦ ИНФРА-М,2024 - 307 с.(Науч.мысль)(О)</t>
  </si>
  <si>
    <t>СОЦИАЛЬНАЯ ГЕОГРАФИЯ РОССИЙСКОЙ ФЕДЕРАЦИИ, ИЗД.2</t>
  </si>
  <si>
    <t>Воронин В.В., Кочуров Б.И., Перстенева Н.П. и др.</t>
  </si>
  <si>
    <t>978-5-16-016091-7</t>
  </si>
  <si>
    <t>05.04.02, 38.04.01, 38.06.01, 39.04.01, 39.04.02, 39.06.01</t>
  </si>
  <si>
    <t>462550.03.01</t>
  </si>
  <si>
    <t>Социальная грамматика: Моногр. / С.В.Борзых-М.:НИЦ ИНФРА-М,2019.-120 с..-(Науч.мысль)(О)</t>
  </si>
  <si>
    <t>СОЦИАЛЬНАЯ ГРАММАТИКА</t>
  </si>
  <si>
    <t>978-5-16-009567-7</t>
  </si>
  <si>
    <t>39.03.01, 39.03.02, 39.04.01, 39.04.02, 41.03.06</t>
  </si>
  <si>
    <t>726079.01.01</t>
  </si>
  <si>
    <t>Социальная диалектика предыстории: Моногр. / С.Н.Некрасов - М.:НИЦ ИНФРА-М,2021 - 640 с.(Науч.мысль)(П)</t>
  </si>
  <si>
    <t>СОЦИАЛЬНАЯ ДИАЛЕКТИКА ПРЕДЫСТОРИИ</t>
  </si>
  <si>
    <t>Некрасов С.Н., Ветошкин А.П.</t>
  </si>
  <si>
    <t>978-5-16-016024-5</t>
  </si>
  <si>
    <t>636896.10.01</t>
  </si>
  <si>
    <t>Социальная психология общения...: Моногр. / А.Л.Свенцицкий - 2 изд. - М.:НИЦ ИНФРА-М,2025. - 389 с.(П)</t>
  </si>
  <si>
    <t>СОЦИАЛЬНАЯ ПСИХОЛОГИЯ ОБЩЕНИЯ: ТЕОРИЯ И ПРАКТИКА, ИЗД.2</t>
  </si>
  <si>
    <t>Свенцицкий А.Л., Почебут Л.Г., Гуриева С.Д. и др.</t>
  </si>
  <si>
    <t>978-5-16-014192-3</t>
  </si>
  <si>
    <t>07.02.01, 08.02.01, 09.02.06, 26.02.04, 37.03.01, 38.03.04, 44.03.01, 44.03.05</t>
  </si>
  <si>
    <t>636896.03.01</t>
  </si>
  <si>
    <t>Социальная психология общения: Моногр. / Под ред. Свенцицкого А.Л.-М.:НИЦ ИНФРА-М,2018-256с.(П)</t>
  </si>
  <si>
    <t>СОЦИАЛЬНАЯ ПСИХОЛОГИЯ ОБЩЕНИЯ</t>
  </si>
  <si>
    <t>Свенцицкий А.Л., Панфёров В.Н., Куликов Л.В. и др.</t>
  </si>
  <si>
    <t>978-5-16-012186-4</t>
  </si>
  <si>
    <t>485250.10.01</t>
  </si>
  <si>
    <t>Социальная работа: Сл. терминов / Е.Н.Приступа - М.:Форум, НИЦ ИНФРА-М,2024-232 с.(Б-ка сл. ИНФРА-М)(О)</t>
  </si>
  <si>
    <t>СОЦИАЛЬНАЯ РАБОТА: СЛОВАРЬ ТЕРМИНОВ</t>
  </si>
  <si>
    <t>Приступа Е.Н., Приступа Е.Н., Степичев П.А. и др.</t>
  </si>
  <si>
    <t>978-5-00091-764-0</t>
  </si>
  <si>
    <t>39.02.01, 39.03.01, 39.03.02, 39.03.03, 39.04.01, 39.04.02, 39.04.03, 40.02.04</t>
  </si>
  <si>
    <t>Рекомендовано в качестве учебного пособия для студентов высших учебных заведений, обучающихся по направлению подготовки 39.03.02 «Социальная работа» (квалификация (степень) «бакалавр»)</t>
  </si>
  <si>
    <t>Институт развития, здоровья и адаптации ребенка</t>
  </si>
  <si>
    <t>645466.05.01</t>
  </si>
  <si>
    <t>Социальная реклама в системе соц. коммуникаций...: Моногр. / И.Б.Давыдкина - М.:НИЦ ИНФРА-М,2023-126 с.(О)</t>
  </si>
  <si>
    <t>СОЦИАЛЬНАЯ РЕКЛАМА В СИСТЕМЕ СОЦИАЛЬНЫХ КОММУНИКАЦИЙ И СОЦИАЛЬНОГО УПРАВЛЕНИЯ</t>
  </si>
  <si>
    <t>Давыдкина И.Б.</t>
  </si>
  <si>
    <t>978-5-16-012943-3</t>
  </si>
  <si>
    <t>38.03.02, 38.03.04, 38.04.02, 38.04.04, 44.03.01, 44.03.05</t>
  </si>
  <si>
    <t>Российский экономический университет им. Г.В. Плеханова, Волгоградский ф-л</t>
  </si>
  <si>
    <t>694494.02.01</t>
  </si>
  <si>
    <t>Социальная эффектив. орг. внутренних дел: Моногр. / Е.Г.Бунов - М.:НИЦ ИНФРА-М,2022 - 183 с.(Науч.мысль)(П)</t>
  </si>
  <si>
    <t>СОЦИАЛЬНАЯ ЭФФЕКТИВНОСТЬ ОРГАНОВ ВНУТРЕННИХ ДЕЛ</t>
  </si>
  <si>
    <t>Бунов Е.Г.</t>
  </si>
  <si>
    <t>978-5-16-017251-4</t>
  </si>
  <si>
    <t>832513.01.01</t>
  </si>
  <si>
    <t>Социально значимые отрасли экономики России....: Моногр. / А.В.Сигал - М.:НИЦ ИНФРА-М,2025. - 381 с.(п)</t>
  </si>
  <si>
    <t>СОЦИАЛЬНО ЗНАЧИМЫЕ ОТРАСЛИ ЭКОНОМИКИ РОССИИ: ФУНКЦИОНИРОВАНИЕ, ОПТИМИЗАЦИЯ ДЕЯТЕЛЬНОСТИ, МОДЕРНИЗАЦИЯ И ПЕРСПЕКТИВЫ РАЗВИТИЯ</t>
  </si>
  <si>
    <t>Сигал А.В., Апатова Н.В., Бакуменко М.А. и др.</t>
  </si>
  <si>
    <t>978-5-16-020075-0</t>
  </si>
  <si>
    <t>38.03.01, 38.04.04, 38.05.01, 38.06.01</t>
  </si>
  <si>
    <t>710223.03.01</t>
  </si>
  <si>
    <t>Социальное благополучие человека: Сб. науч. трудов / В.В.Комарова.-М.:Юр. НОРМА, НИЦ ИНФРА-М,2022.-240 с.(П)</t>
  </si>
  <si>
    <t>СОЦИАЛЬНОЕ БЛАГОПОЛУЧИЕ ЧЕЛОВЕКА</t>
  </si>
  <si>
    <t>Комарова В.В., Беше-Головко К., Чиркин В.Е. и др.</t>
  </si>
  <si>
    <t>978-5-00156-002-9</t>
  </si>
  <si>
    <t>39.03.02, 39.04.01, 39.04.02, 40.03.01, 40.04.01</t>
  </si>
  <si>
    <t>781097.02.01</t>
  </si>
  <si>
    <t>Социальное богатство инновац. сис.: Моногр. / М.А.Сажина-М.:НИЦ ИНФРА-М,2024.-110 с.(Науч.мысль)(о)</t>
  </si>
  <si>
    <t>СОЦИАЛЬНОЕ БОГАТСТВО ИННОВАЦИОННОЙ СИСТЕМЫ</t>
  </si>
  <si>
    <t>Сажина М.А., Каширова А.В., Сажина М.А.</t>
  </si>
  <si>
    <t>978-5-16-017787-8</t>
  </si>
  <si>
    <t>803606.03.01</t>
  </si>
  <si>
    <t>Социальное богатство человеческого общества: Моногр. / М.А.Сажина-М.:НИЦ ИНФРА-М,2024-148с.(Науч.мысль)(п)</t>
  </si>
  <si>
    <t>СОЦИАЛЬНОЕ БОГАТСТВО ЧЕЛОВЕЧЕСКОГО ОБЩЕСТВА</t>
  </si>
  <si>
    <t>978-5-16-018534-7</t>
  </si>
  <si>
    <t>38.03.02, 38.04.01, 38.04.02, 38.04.03, 38.04.04, 38.06.01</t>
  </si>
  <si>
    <t>408650.07.01</t>
  </si>
  <si>
    <t>Социальное пространство имиджа: Моногр. / М.О.Кошлякова - М.:НИЦ ИНФРА-М,2022 - 153 с.(Науч.мысль)(О)</t>
  </si>
  <si>
    <t>СОЦИАЛЬНОЕ ПРОСТРАНСТВО ИМИДЖА</t>
  </si>
  <si>
    <t>Кошлякова М.О.</t>
  </si>
  <si>
    <t>978-5-16-006408-6</t>
  </si>
  <si>
    <t>39.03.01, 39.04.01, 41.03.06, 42.03.01, 42.04.01</t>
  </si>
  <si>
    <t>725299.02.01</t>
  </si>
  <si>
    <t>Социальное управ. институционал. изм. в рос. обществе: Моногр. / Д.В.Щёлоков - М.:ИНФРА-М,2022-167с(О)</t>
  </si>
  <si>
    <t>СОЦИАЛЬНОЕ УПРАВЛЕНИЕ ИНСТИТУЦИОНАЛЬНЫМИ ИЗМЕНЕНИЯМИ В РОССИЙСКОМ ОБЩЕСТВЕ: СОЦИОЛОГИЧЕСКИЙ АНАЛИЗ ТРАНСФОРМАЦИОННЫХ ПРОЦЕССОВ</t>
  </si>
  <si>
    <t>Щёлоков Д.В.</t>
  </si>
  <si>
    <t>978-5-16-015880-8</t>
  </si>
  <si>
    <t>38.04.04, 39.04.01, 39.04.03, 39.06.01</t>
  </si>
  <si>
    <t>706234.04.01</t>
  </si>
  <si>
    <t>Социальное управ. процес. конвергенции в совр. медиасфере / О.И.Молчанова - М.:НИЦ ИНФРА-М,2024-241с(О)</t>
  </si>
  <si>
    <t>СОЦИАЛЬНОЕ УПРАВЛЕНИЕ ПРОЦЕССАМИ КОНВЕРГЕНЦИИ В СОВРЕМЕННОЙ МЕДИАСФЕРЕ</t>
  </si>
  <si>
    <t>Молчанова О.И.</t>
  </si>
  <si>
    <t>978-5-16-015086-4</t>
  </si>
  <si>
    <t>38.04.02, 38.04.04, 39.04.01, 41.03.06, 42.04.01, 42.04.02, 42.04.04, 42.04.05</t>
  </si>
  <si>
    <t>773012.01.01</t>
  </si>
  <si>
    <t>Социальное управление профориентационной деят в...: Моногр. / Е.В.Тихонова-М.:НИЦ ИНФРА-М,2022.-171 с.(О)</t>
  </si>
  <si>
    <t>СОЦИАЛЬНОЕ УПРАВЛЕНИЕ ПРОФОРИЕНТАЦИОННОЙ ДЕЯТЕЛЬНОСТЬЮ В ОБЩЕОБРАЗОВАТЕЛЬНЫХ УЧРЕЖДЕНИЯХ СОВРЕМЕННОГО МЕГАПОЛИСА</t>
  </si>
  <si>
    <t>Тихонова Е.В., Дианина Е.В.</t>
  </si>
  <si>
    <t>978-5-16-017760-1</t>
  </si>
  <si>
    <t>39.03.01, 39.04.01, 39.06.01, 44.04.01, 44.06.01</t>
  </si>
  <si>
    <t>767827.01.01</t>
  </si>
  <si>
    <t>Социально-правовая теория этнич. конфликта: Моногр. / Н.В.Кузьмина - М.:НИЦ ИНФРА-М,2022 - 173 с.(О)</t>
  </si>
  <si>
    <t>СОЦИАЛЬНО-ПРАВОВАЯ ТЕОРИЯ ЭТНИЧЕСКОГО КОНФЛИКТА</t>
  </si>
  <si>
    <t>Кузьмина Н.В.</t>
  </si>
  <si>
    <t>978-5-16-017317-7</t>
  </si>
  <si>
    <t>39.04.01, 39.06.01, 40.04.01, 40.06.01</t>
  </si>
  <si>
    <t>АКАДЕМУС-2021, Победитель, I место</t>
  </si>
  <si>
    <t>706142.07.01</t>
  </si>
  <si>
    <t>Социально-проектная деят. как открытое воспитательное... / Л.С. Пастухова - М.: ИНФРА-М, 2026 - 232 с.(П)</t>
  </si>
  <si>
    <t>СОЦИАЛЬНО-ПРОЕКТНАЯ ДЕЯТЕЛЬНОСТЬ КАК ОТКРЫТОЕ ВОСПИТАТЕЛЬНОЕ ПРОСТРАНСТВО ФОРМИРОВАНИЯ ГРАЖДАНСКИХ КАЧЕСТВ МОЛОДЕЖИ</t>
  </si>
  <si>
    <t>Пастухова Л.С., Иванова С.В.</t>
  </si>
  <si>
    <t>978-5-16-015067-3</t>
  </si>
  <si>
    <t>39.03.03, 39.04.03</t>
  </si>
  <si>
    <t>761226.03.01</t>
  </si>
  <si>
    <t>Социально-психолог. феномены в совр. обр. пространстве / Кожухарь Г.С. - М.:НИЦ ИНФРА-М,2023-172 с.(О)</t>
  </si>
  <si>
    <t>СОЦИАЛЬНО-ПСИХОЛОГИЧЕСКИЕ ФЕНОМЕНЫ В СОВРЕМЕННОМ ОБРАЗОВАТЕЛЬНОМ ПРОСТРАНСТВЕ</t>
  </si>
  <si>
    <t>Кожухарь Г.С., Крушельницкая О.Б., Мешкова Н.В. и др.</t>
  </si>
  <si>
    <t>978-5-16-017096-1</t>
  </si>
  <si>
    <t>37.03.01, 37.04.01, 44.03.02, 44.04.02, 44.04.04, 44.06.01</t>
  </si>
  <si>
    <t>740306.01.01</t>
  </si>
  <si>
    <t>Социально-философ. анализ взаимодействия религиоз. фактора.../ В.О.Микрюков-М.:НИЦ ИНФРА-М,2022.-194 с.(О)</t>
  </si>
  <si>
    <t>СОЦИАЛЬНО-ФИЛОСОФСКИЙ АНАЛИЗ ВЗАИМОДЕЙСТВИЯ РЕЛИГИОЗНОГО ФАКТОРА И ТЕРРОРА: СОВРЕМЕННЫЕ ТЕНДЕНЦИИ И ПЕРСПЕКТИВЫ</t>
  </si>
  <si>
    <t>Микрюков В.О.</t>
  </si>
  <si>
    <t>978-5-16-016330-7</t>
  </si>
  <si>
    <t>684578.04.01</t>
  </si>
  <si>
    <t>Социально-эконом. обуслов. совр. ландшафтогенеза...: Моногр. / Е.А.Романова-М.:НИЦ ИНФРА-М,2018-151с</t>
  </si>
  <si>
    <t>СОЦИАЛЬНО-ЭКОНОМИЧЕСКАЯ ОБУСЛОВЛЕННОСТЬ СОВРЕМЕННОГО ЛАНДШАФТОГЕНЕЗА ОСВОЕННЫХ ТЕРРИТОРИЙ</t>
  </si>
  <si>
    <t>Романова Е.А.</t>
  </si>
  <si>
    <t>978-5-16-014174-9</t>
  </si>
  <si>
    <t>05.03.02, 05.03.03, 05.03.04, 05.03.06, 05.04.02</t>
  </si>
  <si>
    <t>666290.03.01</t>
  </si>
  <si>
    <t>Социально-эконом.районирование в эпоху больших данных:Моногр./В.И.Блануца-М.:НИЦ ИНФРА-М,2019-194(П)</t>
  </si>
  <si>
    <t>СОЦИАЛЬНО-ЭКОНОМИЧЕСКОЕ РАЙОНИРОВАНИЕ В ЭПОХУ БОЛЬШИХ ДАННЫХ</t>
  </si>
  <si>
    <t>978-5-16-013259-4</t>
  </si>
  <si>
    <t>642149.05.01</t>
  </si>
  <si>
    <t>Социально-эконом.усл.перехода к новой модели: Моногр. / Под ред. Ахапкина Н.Ю. - М.:НИЦ ИНФРА-М,2025 - 298 с.(п)</t>
  </si>
  <si>
    <t>СОЦИАЛЬНО-ЭКОНОМИЧЕСКИЕ УСЛОВИЯ ПЕРЕХОДА К НОВОЙ МОДЕЛИ ЭКОНОМИЧЕСКОГО РОСТА</t>
  </si>
  <si>
    <t>Ахапкин Н.Ю., Биляк С.А., Бухвальд Е.М. и др.</t>
  </si>
  <si>
    <t>978-5-16-012349-3</t>
  </si>
  <si>
    <t>674023.02.01</t>
  </si>
  <si>
    <t>Социально-экономические трансформации региона...: Моногр./М.М.Махмудова -М.:НИЦ ИНФРА-М,2019-281с(П)</t>
  </si>
  <si>
    <t>СОЦИАЛЬНО-ЭКОНОМИЧЕСКИЕ ТРАНСФОРМАЦИИ РЕГИОНА В СОВРЕМЕННЫХ УСЛОВИЯХ</t>
  </si>
  <si>
    <t>Махмудова М.М., Ефремова В.В., Королева А.М.</t>
  </si>
  <si>
    <t>978-5-16-013679-0</t>
  </si>
  <si>
    <t>38.03.01, 38.03.04, 38.04.01, 38.04.04, 44.03.01</t>
  </si>
  <si>
    <t>642077.08.01</t>
  </si>
  <si>
    <t>Социальные деформации (причины...): Моногр. / В.Н.Кудрявцев - М.:Юр.Норма,НИЦ ИНФРА-М,2025 - 136 с.(О)</t>
  </si>
  <si>
    <t>СОЦИАЛЬНЫЕ ДЕФОРМАЦИИ (ПРИЧИНЫ, МЕХАНИЗМЫ И ПУТИ ПРЕОДОЛЕНИЯ)</t>
  </si>
  <si>
    <t>978-5-91768-773-5</t>
  </si>
  <si>
    <t>850787.01.01</t>
  </si>
  <si>
    <t>Социальные механизмы формир. доверия в трансформирующихся... / Е.В.Фролова. - М.:НИЦ ИНФРА-М,2025. - 396 с.(п)</t>
  </si>
  <si>
    <t>СОЦИАЛЬНЫЕ МЕХАНИЗМЫ ФОРМИРОВАНИЯ ДОВЕРИЯ В ТРАНСФОРМИРУЮЩИХСЯ ЭКОНОМИЧЕСКИХ ОТНОШЕНИЯХ</t>
  </si>
  <si>
    <t>Фролова Е.В., Шихгафизов П.Ш., Тюриков А.Г. и др.</t>
  </si>
  <si>
    <t>978-5-16-021170-1</t>
  </si>
  <si>
    <t>38.04.01, 38.04.02, 38.04.04, 38.06.01, 39.04.01, 39.06.01</t>
  </si>
  <si>
    <t>790467.01.01</t>
  </si>
  <si>
    <t>Социальные насекомые, экология...: Моногр. / Е.К.Еськов-М.:НИЦ ИНФРА-М,2023.-369 с.(п)</t>
  </si>
  <si>
    <t>СОЦИАЛЬНЫЕ НАСЕКОМЫЕ, ЭКОЛОГИЯ, ЭТОЛОГИЯ, ЭВОЛЮЦИЯ</t>
  </si>
  <si>
    <t>978-5-16-018011-3</t>
  </si>
  <si>
    <t>06.04.01, 06.06.01, 44.04.01</t>
  </si>
  <si>
    <t>475050.04.01</t>
  </si>
  <si>
    <t>Социальные науки как предмет философ. и социолог. дискурса: Моногр./А.М.Орехов - ИНФРА-М, 2019-172с.</t>
  </si>
  <si>
    <t>СОЦИАЛЬНЫЕ НАУКИ КАК ПРЕДМЕТ ФИЛОСОФСКОГО И СОЦИОЛОГИЧЕСКОГО ДИСКУРСА</t>
  </si>
  <si>
    <t>Орехов А. М.</t>
  </si>
  <si>
    <t>978-5-16-010202-3</t>
  </si>
  <si>
    <t>39.03.01, 39.04.01, 40.03.01, 44.03.01, 44.03.05, 47.03.01, 47.04.01</t>
  </si>
  <si>
    <t>475050.06.01</t>
  </si>
  <si>
    <t>Социальные науки как предмет философ. и..: Моногр. / А.М.Орехов, - 2 изд.-М.:НИЦ ИНФРА-М,2023.-201с(О)</t>
  </si>
  <si>
    <t>СОЦИАЛЬНЫЕ НАУКИ КАК ПРЕДМЕТ ФИЛОСОФСКОГО И СОЦИОЛОГИЧЕСКОГО ДИСКУРСА, ИЗД.2</t>
  </si>
  <si>
    <t>978-5-16-014588-4</t>
  </si>
  <si>
    <t>087200.16.01</t>
  </si>
  <si>
    <t>Социальные основания права: Моногр. / Г.В. Мальцев. - М.: Норма:  НИЦ ИНФРА-М, 2025. - 800 с.(П)</t>
  </si>
  <si>
    <t>СОЦИАЛЬНЫЕ ОСНОВАНИЯ ПРАВА</t>
  </si>
  <si>
    <t>978-5-91768-175-7</t>
  </si>
  <si>
    <t>39.03.01, 40.03.01, 40.04.01, 40.05.01, 40.05.02, 40.05.03, 44.03.05</t>
  </si>
  <si>
    <t>161950.03.01</t>
  </si>
  <si>
    <t>Социальные смыслы: Монография / С.В.Борзых - М.:НИЦ ИНФРА-М,2020 - 123 с.-(Науч.мысль)(О)</t>
  </si>
  <si>
    <t>СОЦИАЛЬНЫЕ СМЫСЛЫ</t>
  </si>
  <si>
    <t>978-5-16-005149-9</t>
  </si>
  <si>
    <t>653024.05.01</t>
  </si>
  <si>
    <t>Социальные технологии и юрид. познание: Моногр. / Л.А.Воскобитова - М.:Юр.Норма,НИЦ ИНФРА-М,2025 - 192 с.(п)</t>
  </si>
  <si>
    <t>СОЦИАЛЬНЫЕ ТЕХНОЛОГИИ И ЮРИДИЧЕСКОЕ ПОЗНАНИЕ</t>
  </si>
  <si>
    <t>Воскобитова Л.А., Пржиленский В.И.</t>
  </si>
  <si>
    <t>978-5-91768-818-3</t>
  </si>
  <si>
    <t>230300.06.01</t>
  </si>
  <si>
    <t>Социальные технологии формиров. лидер. качеств..: Моногр./К.К.Оганян-ИНФРА-М, 2024-140с(Науч. мысль) (о)</t>
  </si>
  <si>
    <t>СОЦИАЛЬНЫЕ ТЕХНОЛОГИИ ФОРМИРОВАНИЯ ЛИДЕРСКИХ КАЧЕСТВ У БУДУЩИХ РУКОВОДИТЕЛЕЙ В ВУЗОВСКОЙ СРЕДЕ</t>
  </si>
  <si>
    <t>Оганян К. К.</t>
  </si>
  <si>
    <t>978-5-16-009058-0</t>
  </si>
  <si>
    <t>38.03.01, 38.03.03, 39.03.01, 39.04.01, 41.03.06</t>
  </si>
  <si>
    <t>396700.07.01</t>
  </si>
  <si>
    <t>Социальные технологии: фунд.и прикл.пробл.:Моногр./В.И.Пржиленский-Юр.Норма,НИЦ ИНФРА-М,2024-176с</t>
  </si>
  <si>
    <t>СОЦИАЛЬНЫЕ ТЕХНОЛОГИИ: ФУНДАМЕНТАЛЬНЫЕ И ПРИКЛАДНЫЕ ПРОБЛЕМЫ</t>
  </si>
  <si>
    <t>Пржиленский В.И.</t>
  </si>
  <si>
    <t>978-5-91768-653-0</t>
  </si>
  <si>
    <t>39.03.01, 39.03.03, 39.04.01, 39.04.03, 44.03.01, 44.03.05</t>
  </si>
  <si>
    <t>740995.01.01</t>
  </si>
  <si>
    <t>Социальные трансформации на рынке труда России...: Моногр. / И.А.Юрасов.-М.:НИЦ ИНФРА-М,2021.-164 с.(Науч.мысль)(О)</t>
  </si>
  <si>
    <t>СОЦИАЛЬНЫЕ ТРАНСФОРМАЦИИ НА РЫНКЕ ТРУДА РОССИИ: НЕФОРМАЛЬНАЯ ЗАНЯТОСТЬ</t>
  </si>
  <si>
    <t>Юрасов И.А., Кузнецова Е.В., Танина М.А. и др.</t>
  </si>
  <si>
    <t>978-5-16-014017-9</t>
  </si>
  <si>
    <t>700137.02.01</t>
  </si>
  <si>
    <t>Социальный дискурс: Монография / С.В.Борзых-М.:НИЦ ИНФРА-М,2023.-145 с..-(Науч.мысль)(О)</t>
  </si>
  <si>
    <t>СОЦИАЛЬНЫЙ ДИСКУРС</t>
  </si>
  <si>
    <t>978-5-16-014770-3</t>
  </si>
  <si>
    <t>447750.10.01</t>
  </si>
  <si>
    <t>Социальный капитал личности: Моногр. / Л.Г.Почебут и др. - М.:НИЦ ИНФРА-М,2025 - 250 с.(Науч.мысль)(П)</t>
  </si>
  <si>
    <t>СОЦИАЛЬНЫЙ КАПИТАЛ ЛИЧНОСТИ</t>
  </si>
  <si>
    <t>Почебут Л.Г., Свенцицкий А.Л., Марарица Л.В. и др.</t>
  </si>
  <si>
    <t>978-5-16-008977-5</t>
  </si>
  <si>
    <t>800723.01.01</t>
  </si>
  <si>
    <t>Социальный капитал организации: Моногр. / Д.С.Безносов.-М.:НИЦ ИНФРА-М,2024.-332 с.(Науч.мысль)(п)</t>
  </si>
  <si>
    <t>СОЦИАЛЬНЫЙ КАПИТАЛ ОРГАНИЗАЦИИ</t>
  </si>
  <si>
    <t>Безносов Д.С., Волкова Н.В., Гуриева С.Д. и др.</t>
  </si>
  <si>
    <t>978-5-16-019006-8</t>
  </si>
  <si>
    <t>38.03.03, 38.04.03, 38.06.01</t>
  </si>
  <si>
    <t>Санкт-Петербургский государственный институт психологии и социальной работы</t>
  </si>
  <si>
    <t>789752.01.01</t>
  </si>
  <si>
    <t>Социальный подход к пробл. инвалидности: Моногр. / Е.Н.Приступа-М.:НИЦ ИНФРА-М,2023.-171 с.(Науч.мысль)(о)</t>
  </si>
  <si>
    <t>СОЦИАЛЬНЫЙ ПОДХОД К ПРОБЛЕМЕ ИНВАЛИДНОСТИ</t>
  </si>
  <si>
    <t>Приступа Е.Н.</t>
  </si>
  <si>
    <t>978-5-16-018077-9</t>
  </si>
  <si>
    <t>39.03.02</t>
  </si>
  <si>
    <t>Всероссийский (с международным участием) конкурс учебно-методических, учебных и научных работ "Добросвет"-2024, Победитель, II место</t>
  </si>
  <si>
    <t>720243.04.01</t>
  </si>
  <si>
    <t>Социальный роман А. Слаповского...: Моногр. / Т.А.Дикун - М.:НИЦ ИНФРА-М,2024 - 178 с.(Науч.мысль)(О)</t>
  </si>
  <si>
    <t>СОЦИАЛЬНЫЙ РОМАН А. СЛАПОВСКОГО: ЖАНРОВЫЕ МОДИФИКАЦИИ И ЭВОЛЮЦИЯ ГЕРОЯ</t>
  </si>
  <si>
    <t>Дикун Т.А.</t>
  </si>
  <si>
    <t>978-5-16-015735-1</t>
  </si>
  <si>
    <t>Иркутский национальный исследовательский технический университет</t>
  </si>
  <si>
    <t>347200.04.01</t>
  </si>
  <si>
    <t>Социобикультурная иноязыч. комп. шк.:Моногр./Н.В.Барышников-М.:Вуз. уч., НИЦ ИНФРА-М,2024.-222 с.(О)</t>
  </si>
  <si>
    <t>СОЦИОБИКУЛЬТУРНАЯ ИНОЯЗЫЧНАЯ КОМПЕТЕНЦИЯ ШКОЛЬНИКА</t>
  </si>
  <si>
    <t>Барышников Н.В., Богдан Н.А.</t>
  </si>
  <si>
    <t>978-5-9558-0429-3</t>
  </si>
  <si>
    <t>418300.05.01</t>
  </si>
  <si>
    <t>Социогуманитарный фон и факторы модерниз..: Моногр./Л.Н.Даниленко - М.: НИЦ ИНФРА-М, 2024-160с. (о)</t>
  </si>
  <si>
    <t>СОЦИОГУМАНИТАРНЫЙ ФОН И ФАКТОРЫ МОДЕРНИЗАЦИОННЫХ ПРОЦЕССОВ И СОЗДАНИЯ НОВОЙ ЭКОНОМИКИ В РОССИИ</t>
  </si>
  <si>
    <t>Даниленко Л. Н.</t>
  </si>
  <si>
    <t>978-5-16-006260-0</t>
  </si>
  <si>
    <t>38.03.01, 38.03.02, 38.03.04, 38.04.01, 38.04.02, 38.04.04, 38.04.09, 38.05.01, 40.03.01, 44.03.01, 44.03.05</t>
  </si>
  <si>
    <t>651863.04.01</t>
  </si>
  <si>
    <t>Социокльтурные (архетип и ментал.) основ.публ.-власт.../В.Я.Любашиц-М.:ИЦ РИОР,НИЦ ИНФРА-М,2024-187с</t>
  </si>
  <si>
    <t>СОЦИОКЛЬТУРНЫЕ (АРХЕТИПИЧЕСКИЕ И МЕНТАЛЬНЫЕ) ОСНОВАНИЯ ПУБЛИЧНО-ВЛАСТНОЙ ОРГАНИЗАЦИИ ОБЩЕСТВА</t>
  </si>
  <si>
    <t>Любашиц В.Я., Овчинников А.И., Мамычев А.Ю. и др.</t>
  </si>
  <si>
    <t>978-5-369-01676-3</t>
  </si>
  <si>
    <t>776839.01.01</t>
  </si>
  <si>
    <t>Социокультурная динамика масс. праздников и зрелищ: Моногр. / М.В.Литвинова-М.:НИЦ ИНФРА-М,2023.-148 с.(о)</t>
  </si>
  <si>
    <t>СОЦИОКУЛЬТУРНАЯ ДИНАМИКА МАССОВЫХ ПРАЗДНИКОВ И ЗРЕЛИЩ</t>
  </si>
  <si>
    <t>Литвинова М.В.</t>
  </si>
  <si>
    <t>978-5-16-017704-5</t>
  </si>
  <si>
    <t>41.04.04, 41.06.01, 51.03.05, 51.04.05, 51.06.01</t>
  </si>
  <si>
    <t>313600.07.01</t>
  </si>
  <si>
    <t>Социокультурные основания и специф. кича в графич..: Моногр. / Р.Ю.Овчинникова - Магистр, ИНФРА-М, 2026 - 136 с.(о)</t>
  </si>
  <si>
    <t>СОЦИОКУЛЬТУРНЫЕ ОСНОВАНИЯ И СПЕЦИФИКА КИЧА В ГРАФИЧЕСКОМ ДИЗАЙНЕ</t>
  </si>
  <si>
    <t>Овчинникова Р.Ю.</t>
  </si>
  <si>
    <t>978-5-9776-0335-5</t>
  </si>
  <si>
    <t>54.04.01</t>
  </si>
  <si>
    <t>670749.03.01</t>
  </si>
  <si>
    <t>Социокультурный потенциал высшего тех. образ.: Моногр. / С.А.Митасова-М.:НИЦ ИНФРА-М, СФУ,2023-113с.</t>
  </si>
  <si>
    <t>СОЦИОКУЛЬТУРНЫЙ ПОТЕНЦИАЛ ВЫСШЕГО ТЕХНИЧЕСКОГО ОБРАЗОВАНИЯ</t>
  </si>
  <si>
    <t>Митасова С.А., Евменова Л.Н., Куроленко Е.М.</t>
  </si>
  <si>
    <t>978-5-16-013419-2</t>
  </si>
  <si>
    <t>39.06.01, 39.07.01, 51.06.01</t>
  </si>
  <si>
    <t>691665.03.01</t>
  </si>
  <si>
    <t>Социологический анализ интегр. модели личности руковод.: Моногр./К.К.Оганян-М.:НИЦ ИНФРА-М,2024-166с</t>
  </si>
  <si>
    <t>СОЦИОЛОГИЧЕСКИЙ АНАЛИЗ ИНТЕГРАЛЬНОЙ МОДЕЛИ ЛИЧНОСТИ РУКОВОДИТЕЛЯ: ТЕОРИЯ И ПРАКТИКА</t>
  </si>
  <si>
    <t>978-5-16-014709-3</t>
  </si>
  <si>
    <t>099000.10.01</t>
  </si>
  <si>
    <t>Социологический словарь / Г.В.Осипов - М.:НОРМА, НИЦ ИНФРА-М,2025 - 608 с.(П)</t>
  </si>
  <si>
    <t>СОЦИОЛОГИЧЕСКИЙ СЛОВАРЬ</t>
  </si>
  <si>
    <t>Осипов Г. В., Москвичев Л. Н.</t>
  </si>
  <si>
    <t>978-5-91768-098-9</t>
  </si>
  <si>
    <t>799336.01.01</t>
  </si>
  <si>
    <t>Социология благополучия: Моногр. / Л.С.Киселева-М.:НИЦ ИНФРА-М,2023.-251 с.(Науч.мысль)(п)</t>
  </si>
  <si>
    <t>СОЦИОЛОГИЯ БЛАГОПОЛУЧИЯ</t>
  </si>
  <si>
    <t>Киселева Л.С.</t>
  </si>
  <si>
    <t>978-5-16-018334-3</t>
  </si>
  <si>
    <t>641793.07.01</t>
  </si>
  <si>
    <t>Социология городской среды: Моногр. / В.П.Столбов - М.:НИЦ ИНФРА-М,2026 - 174 с.(Науч.мысль)(П)</t>
  </si>
  <si>
    <t>СОЦИОЛОГИЯ ГОРОДСКОЙ СРЕДЫ</t>
  </si>
  <si>
    <t>Столбов В.П., Starosta P.J.</t>
  </si>
  <si>
    <t>978-5-16-012338-7</t>
  </si>
  <si>
    <t>821276.01.01</t>
  </si>
  <si>
    <t>Социология ценностей: методология исслед.: Моногр. / И.А.Газиева-М.:НИЦ ИНФРА-М,2024.-254 с.(Науч.мысль)(п)</t>
  </si>
  <si>
    <t>СОЦИОЛОГИЯ ЦЕННОСТЕЙ: МЕТОДОЛОГИЯ ИССЛЕДОВАНИЯ</t>
  </si>
  <si>
    <t>Газиева И.А.</t>
  </si>
  <si>
    <t>978-5-16-019683-1</t>
  </si>
  <si>
    <t>37.03.02, 39.03.01, 39.04.01, 39.06.01</t>
  </si>
  <si>
    <t>681552.02.01</t>
  </si>
  <si>
    <t>Социо-эколого-эконом.системы: теория и практика: Моногр. / Р.А.Жуков-М.:НИЦ ИНФРА-М,2023-186с(О)</t>
  </si>
  <si>
    <t>СОЦИО-ЭКОЛОГО-ЭКОНОМИЧЕСКИЕ СИСТЕМЫ: ТЕОРИЯ И ПРАКТИКА</t>
  </si>
  <si>
    <t>Жуков Р.А.</t>
  </si>
  <si>
    <t>978-5-16-014366-8</t>
  </si>
  <si>
    <t>05.03.06, 05.04.06, 38.03.01, 38.04.01, 39.03.01, 39.04.01, 44.03.01</t>
  </si>
  <si>
    <t>Финансовый университет при Правительстве Российской Федерации, Тульский ф-л</t>
  </si>
  <si>
    <t>833267.01.01</t>
  </si>
  <si>
    <t>Специализированные муниципалитеты в РФ: Моногр. / В.Б.Евдокимов - М.:НИЦ ИНФРА-М,2024. - 164 с.(Науч.мысль)(о)</t>
  </si>
  <si>
    <t>СПЕЦИАЛИЗИРОВАННЫЕ МУНИЦИПАЛИТЕТЫ В РОССИЙСКОЙ ФЕДЕРАЦИИ (ОБЩЕЕ И ОСОБЕННОЕ)</t>
  </si>
  <si>
    <t>Евдокимов В.Б., Петряев П.Н.</t>
  </si>
  <si>
    <t>978-5-16-020091-0</t>
  </si>
  <si>
    <t>788907.05.01</t>
  </si>
  <si>
    <t>Специальная дидактика цифр. обр. обуч. с огранич... / Т.Ю.Бутусова. - М.:НИЦ ИНФРА-М,2025. - 183 с.(О)</t>
  </si>
  <si>
    <t>СПЕЦИАЛЬНАЯ ДИДАКТИКА ЦИФРОВОГО ОБРАЗОВАНИЯ ОБУЧАЮЩИХСЯ С ОГРАНИЧЕННЫМИ ВОЗМОЖНОСТЯМИ ЗДОРОВЬЯ</t>
  </si>
  <si>
    <t>Бутусова Т.Ю., Гриншкун А.В., Закрепина А.В. и др.</t>
  </si>
  <si>
    <t>978-5-16-018305-3</t>
  </si>
  <si>
    <t>44.04.01, 44.04.02, 44.04.03, 44.06.01, 44.07.01</t>
  </si>
  <si>
    <t>646423.12.01</t>
  </si>
  <si>
    <t>Специальная и общая философия науки: Энц. словарь / В.А.Канке - М.:НИЦ ИНФРА-М,2025 - 630 с.(П)</t>
  </si>
  <si>
    <t>СПЕЦИАЛЬНАЯ И ОБЩАЯ ФИЛОСОФИЯ НАУКИ: ЭНЦИКЛОПЕДИЧЕСКИЙ СЛОВАРЬ</t>
  </si>
  <si>
    <t>978-5-16-012809-2</t>
  </si>
  <si>
    <t>44.00.00, 38.04.01, 38.04.02, 38.04.03, 38.04.04, 38.04.05, 40.04.01, 44.04.01, 44.04.02, 44.04.03, 44.04.04, 47.03.01, 47.04.01</t>
  </si>
  <si>
    <t>679490.03.01</t>
  </si>
  <si>
    <t>Специфика культурологической интерпрет. от теор.:Моногр. /Н.А.Симбирцева-М.:НИЦ ИНФРА-М,2023-233с</t>
  </si>
  <si>
    <t>СПЕЦИФИКА КУЛЬТУРОЛОГИЧЕСКОЙ ИНТЕРПРЕТАЦИИ: ОТ ТЕОРИИ К ПРАКТИКЕ</t>
  </si>
  <si>
    <t>Симбирцева Н.А.</t>
  </si>
  <si>
    <t>978-5-16-013761-2</t>
  </si>
  <si>
    <t>51.03.01, 51.03.02, 51.03.03, 51.03.04</t>
  </si>
  <si>
    <t>470450.08.01</t>
  </si>
  <si>
    <t>Способы восполнения пробелов в праве: Моногр. / С.А.Дробышевский-М.:Юр. НОРМА, НИЦ ИНФРА-М,2024.-176 с.(о)</t>
  </si>
  <si>
    <t>СПОСОБЫ ВОСПОЛНЕНИЯ ПРОБЕЛОВ В ПРАВЕ</t>
  </si>
  <si>
    <t>Дробышевский С. А., Тихонравов Е. Ю.</t>
  </si>
  <si>
    <t>978-5-91768-508-3</t>
  </si>
  <si>
    <t>856585.01.01</t>
  </si>
  <si>
    <t>Способы утилизации избыточ. активного ила: Моногр. / Б.С.Ксенофонтов - М.:НИЦ ИНФРА-М,2026. - 170 с.(о)</t>
  </si>
  <si>
    <t>СПОСОБЫ УТИЛИЗАЦИИ ИЗБЫТОЧНОГО АКТИВНОГО ИЛА</t>
  </si>
  <si>
    <t>978-5-16-020966-1</t>
  </si>
  <si>
    <t>08.04.01, 08.06.01, 18.03.02, 18.06.01, 20.04.01, 20.04.02, 20.06.01</t>
  </si>
  <si>
    <t>034250.18.01</t>
  </si>
  <si>
    <t>Справочник по доказ. в гражд. судопроизв. / И.В.Решетникова - 6 изд.-М.:Норма,НИЦ ИНФРА-М,2019-448с</t>
  </si>
  <si>
    <t>СПРАВОЧНИК ПО ДОКАЗЫВАНИЮ В ГРАЖДАНСКОМ СУДОПРОИЗВОДСТВЕ, ИЗД.6</t>
  </si>
  <si>
    <t>Решетникова И.В.</t>
  </si>
  <si>
    <t>978-5-91768-722-3</t>
  </si>
  <si>
    <t>40.02.04, 40.03.01, 40.04.01</t>
  </si>
  <si>
    <t>0616</t>
  </si>
  <si>
    <t>034250.30.01</t>
  </si>
  <si>
    <t>Справочник по доказ. в гражд. судопроизв. / И.В.Решетникова - 7 изд. - М.:Норма,НИЦ ИНФРА-М,2025 - 472 с.(П)</t>
  </si>
  <si>
    <t>СПРАВОЧНИК ПО ДОКАЗЫВАНИЮ В ГРАЖДАНСКОМ СУДОПРОИЗВОДСТВЕ, ИЗД.7</t>
  </si>
  <si>
    <t>Решетникова И.В., Закарлюка А.В., Звягинцева Л.М. и др.</t>
  </si>
  <si>
    <t>978-5-00156-077-7</t>
  </si>
  <si>
    <t>0720</t>
  </si>
  <si>
    <t>034250.32.01</t>
  </si>
  <si>
    <t>Справочник по доказ. в гражд. судопроизв. / И.В.Решетникова - 8 изд.- М.:Норма,НИЦ ИНФРА-М,2026 - 512 с.(П)</t>
  </si>
  <si>
    <t>СПРАВОЧНИК ПО ДОКАЗЫВАНИЮ В ГРАЖДАНСКОМ СУДОПРОИЗВОДСТВЕ, ИЗД.8</t>
  </si>
  <si>
    <t>Решетникова И.В., Малов А.А., Царегородцева Е.А. и др.</t>
  </si>
  <si>
    <t>978-5-00156-439-3</t>
  </si>
  <si>
    <t>0825</t>
  </si>
  <si>
    <t>485200.17.01</t>
  </si>
  <si>
    <t>Справочник по доказыванию в адм. судопроизв. / И.В.Решетников - 2 изд. - М.:Юр.Норма, НИЦ ИНФРА-М,2025 - 160 с.(П)</t>
  </si>
  <si>
    <t>СПРАВОЧНИК ПО ДОКАЗЫВАНИЮ В АДМИНИСТРАТИВНОМ СУДОПРОИЗВОДСТВЕ, ИЗД.2</t>
  </si>
  <si>
    <t>Решетникова И.В., Куликова М.А., Царегородцева Е.А.</t>
  </si>
  <si>
    <t>978-5-00156-060-9</t>
  </si>
  <si>
    <t>38.03.04, 40.02.02, 40.02.04, 40.03.01, 40.04.01, 40.06.01, 44.03.05</t>
  </si>
  <si>
    <t>485200.18.01</t>
  </si>
  <si>
    <t>Справочник по доказыванию в адм. судопроизв. / И.В.Решетников - 3 изд. - М.:Юр.Норма, НИЦ ИНФРА-М,2026 - 164 с.(П)</t>
  </si>
  <si>
    <t>СПРАВОЧНИК ПО ДОКАЗЫВАНИЮ В АДМИНИСТРАТИВНОМ СУДОПРОИЗВОДСТВЕ, ИЗД.3</t>
  </si>
  <si>
    <t>Решетникова И.В., Царегородцева Е.А., Куликова М.А.</t>
  </si>
  <si>
    <t>978-5-00156-452-2</t>
  </si>
  <si>
    <t>485200.06.01</t>
  </si>
  <si>
    <t>Справочник по доказыванию в админ.судопроизв. /И.В.Решетникова -М.:Юр.Норма, НИЦ ИНФРА-М,2019-128(О)</t>
  </si>
  <si>
    <t>СПРАВОЧНИК ПО ДОКАЗЫВАНИЮ В АДМИНИСТРАТИВНОМ СУДОПРОИЗВОДСТВЕ</t>
  </si>
  <si>
    <t>978-5-91768-714-8</t>
  </si>
  <si>
    <t>718666.06.01</t>
  </si>
  <si>
    <t>Справочник по доказыванию в арбитраж. процес. / И.В.Решетникова - 2 изд.-М.:Юр. НОРМА, НИЦ ИНФРА-М,2023.-480 с.(П)</t>
  </si>
  <si>
    <t>СПРАВОЧНИК ПО ДОКАЗЫВАНИЮ В АРБИТРАЖНОМ ПРОЦЕССЕ, ИЗД.2</t>
  </si>
  <si>
    <t>Решетникова И.В., Куликова М.А., Вербенко Т.Л. и др.</t>
  </si>
  <si>
    <t>978-5-00156-225-2</t>
  </si>
  <si>
    <t>718666.04.01</t>
  </si>
  <si>
    <t>Справочник по доказыванию в арбитраж. процес. / И.В.Решетникова-М.:Юр.Норма, НИЦ ИНФРА-М,2021.-360 с.(П)</t>
  </si>
  <si>
    <t>СПРАВОЧНИК ПО ДОКАЗЫВАНИЮ В АРБИТРАЖНОМ ПРОЦЕССЕ</t>
  </si>
  <si>
    <t>978-5-00156-024-1</t>
  </si>
  <si>
    <t>718666.08.01</t>
  </si>
  <si>
    <t>Справочник по доказыванию в арбитраж. процессе / И.В.Решетникова - 3 изд. - М.:Юр. НОРМА, НИЦ ИНФРА-М,2026 - 544 с.(П)</t>
  </si>
  <si>
    <t>СПРАВОЧНИК ПО ДОКАЗЫВАНИЮ В АРБИТРАЖНОМ ПРОЦЕССЕ, ИЗД.3</t>
  </si>
  <si>
    <t>Решетникова И.В., Вербенко Т.Л., Сердитова Е.Н. и др.</t>
  </si>
  <si>
    <t>978-5-00156-442-3</t>
  </si>
  <si>
    <t>319100.11.01</t>
  </si>
  <si>
    <t>Справочник по машиностроительному черчению / А.А.Чекмарев, - 11 изд. - М.:НИЦ ИНФРА-М,2025. - 494 с.(п)</t>
  </si>
  <si>
    <t>СПРАВОЧНИК ПО МАШИНОСТРОИТЕЛЬНОМУ ЧЕРЧЕНИЮ, ИЗД.11</t>
  </si>
  <si>
    <t>Чекмарев А.А., Осипов В.К.</t>
  </si>
  <si>
    <t>978-5-16-010417-1</t>
  </si>
  <si>
    <t>15.01.13, 15.01.17, 15.01.18, 15.01.22, 15.01.29, 15.01.35, 15.01.36, 15.01.37, 15.01.38, 15.02.01, 15.02.03, 15.02.04, 15.02.06, 15.02.07, 15.02.09, 15.02.10, 15.02.16, 15.02.17, 15.02.18, 15.02.19, 15.03.01, 15.03.02, 15.03.03, 15.03.04, 15.03.05, 15.03.06, 23.02.07, 24.02.01</t>
  </si>
  <si>
    <t>1114</t>
  </si>
  <si>
    <t>645768.12.01</t>
  </si>
  <si>
    <t>Справочник экономиста предпр.: Справ. / Под ред. Акуленко Н.Б. - М.:НИЦ ИНФРА-М,2025. - 424 с.(Справ. ИНФРА-М)(П)</t>
  </si>
  <si>
    <t>СПРАВОЧНИК ЭКОНОМИСТА ПРЕДПРИЯТИЯ</t>
  </si>
  <si>
    <t>Акуленко Н.Б., Кукушкин С.Н., Кучеренко А.И.</t>
  </si>
  <si>
    <t>978-5-16-012424-7</t>
  </si>
  <si>
    <t>38.03.01, 38.03.02, 38.03.03, 38.03.04, 38.03.05, 38.03.06, 38.04.01, 38.04.02, 38.04.03, 38.04.04, 38.04.05, 38.04.06, 38.04.08</t>
  </si>
  <si>
    <t>670735.07.01</t>
  </si>
  <si>
    <t>Справочник электрика по ремонту электрооборуд... / М.Ю.Сибикин, - 2 изд. - М.:НИЦ ИНФРА-М,2026. - 262 с.(п)</t>
  </si>
  <si>
    <t>СПРАВОЧНИК ЭЛЕКТРИКА ПО РЕМОНТУ ЭЛЕКТРООБОРУДОВАНИЯ ПРОМЫШЛЕННЫХ ПРЕДПРИЯТИЙ, ИЗД.2</t>
  </si>
  <si>
    <t>Сибикин М.Ю.</t>
  </si>
  <si>
    <t>978-5-16-017615-4</t>
  </si>
  <si>
    <t>00.02.39, 08.02.09, 11.01.02, 11.01.05, 11.01.06, 11.01.07, 11.02.14, 11.02.16, 12.02.04, 13.01.07, 13.01.10, 13.02.07, 13.02.09, 13.02.12, 13.02.13, 18.01.28, 21.01.15, 26.01.05, 26.02.04, 26.02.05, 26.02.06, 35.01.15</t>
  </si>
  <si>
    <t>411400.09.01</t>
  </si>
  <si>
    <t>Сравнительная криминология: Моногр. / И.М.Клейменов - М.:Юр.Норма, НИЦ ИНФРА-М,2026. - 368 с.(П)</t>
  </si>
  <si>
    <t>СРАВНИТЕЛЬНАЯ КРИМИНОЛОГИЯ</t>
  </si>
  <si>
    <t>Клейменов И. М.</t>
  </si>
  <si>
    <t>978-5-91768-322-5</t>
  </si>
  <si>
    <t>796852.01.01</t>
  </si>
  <si>
    <t>Сравнительное государствоведение: Моногр.-М.:ИЦ РИОР, НИЦ ИНФРА-М,2023.-245 с.(Науч.мысль)(п)</t>
  </si>
  <si>
    <t>СРАВНИТЕЛЬНОЕ ГОСУДАРСТВОВЕДЕНИЕ</t>
  </si>
  <si>
    <t>Саломатин А.Ю., Гуляков А.Д., Агеева Е.А. и др.</t>
  </si>
  <si>
    <t>978-5-369-01919-1</t>
  </si>
  <si>
    <t>40.04.01, 40.06.01, 41.04.04, 41.06.01</t>
  </si>
  <si>
    <t>846459.02.01</t>
  </si>
  <si>
    <t>Сравнительное конституционное право: Моногр. / Т.Я.Хабриева-М.:Юр. НОРМА,2025.-264 с.(п)</t>
  </si>
  <si>
    <t>СРАВНИТЕЛЬНОЕ КОНСТИТУЦИОННОЕ ПРАВО</t>
  </si>
  <si>
    <t>978-5-00156-400-3</t>
  </si>
  <si>
    <t>40.03.01, 40.04.01, 40.05.01, 40.05.02, 40.05.04</t>
  </si>
  <si>
    <t>706088.01.01</t>
  </si>
  <si>
    <t>Стабилизация как этап эволюции соц. сис.: Моногр. / И.В.Ситнова-М.:НИЦ ИНФРА-М,2022.-140 с.(О)</t>
  </si>
  <si>
    <t>СТАБИЛИЗАЦИЯ КАК ЭТАП ЭВОЛЮЦИИ СОЦИАЛЬНОЙ СИСТЕМЫ</t>
  </si>
  <si>
    <t>978-5-16-015583-8</t>
  </si>
  <si>
    <t>39.03.01, 39.04.01</t>
  </si>
  <si>
    <t>705357.01.01</t>
  </si>
  <si>
    <t>Ставропольский край как субъект РФ...: Моногр. / В.А.Черепанов - М.:Юр.Норма,2019.-384 с.(П)</t>
  </si>
  <si>
    <t>СТАВРОПОЛЬСКИЙ КРАЙ КАК СУБЪЕКТ РОССИЙСКОЙ ФЕДЕРАЦИИ: КОНСТИТУЦИОННО-ПРАВОВОЕ ИССЛЕДОВАНИЕ</t>
  </si>
  <si>
    <t>978-5-91768-637-0</t>
  </si>
  <si>
    <t>38.03.04, 40.03.01, 40.05.01, 40.05.02, 40.05.03, 44.03.05</t>
  </si>
  <si>
    <t>450810.0133.01</t>
  </si>
  <si>
    <t>Стандарты и мониторинг в образовании, 2024, № 3</t>
  </si>
  <si>
    <t>СТАНДАРТЫ И МОНИТОРИНГ В ОБРАЗОВАНИИ, 2024, № 3</t>
  </si>
  <si>
    <t>450810.0140.01</t>
  </si>
  <si>
    <t>Стандарты и мониторинг в образовании, 2025, № 4</t>
  </si>
  <si>
    <t>СТАНДАРТЫ И МОНИТОРИНГ В ОБРАЗОВАНИИ, 2025, № 4</t>
  </si>
  <si>
    <t>169550.06.01</t>
  </si>
  <si>
    <t>Становление гос. Древнего Новгорода.: Моногр. / М.В.Амосов - 2 изд. - М.:ИЦ РИОР,НИЦ ИНФРА-М,2025 - 204 с.(о)</t>
  </si>
  <si>
    <t>СТАНОВЛЕНИЕ ГОСУДАРСТВЕННОСТИ ДРЕВНЕГО НОВГОРОДА И МОНУМЕНТАЛЬНОГО ЗОДЧЕСТВА, ИЗД.2</t>
  </si>
  <si>
    <t>Амосов М.В.</t>
  </si>
  <si>
    <t>978-5-369-01141-6</t>
  </si>
  <si>
    <t>07.03.01, 07.03.03, 07.04.01, 07.04.03, 44.03.01, 44.03.05, 46.03.01, 46.03.02, 46.04.01, 46.04.02, 51.03.04, 51.04.04, 54.03.04, 54.04.04</t>
  </si>
  <si>
    <t>Театр Классического Балета Наталии Касаткиной и Владимира Василёва</t>
  </si>
  <si>
    <t>399300.07.01</t>
  </si>
  <si>
    <t>Становление экол.культуры и разв.ребенка..: Моногр. / С.Н.Николаева - НИЦ ИНФРА-М,2026 - 198с.(Науч.мысль)(о)</t>
  </si>
  <si>
    <t>СТАНОВЛЕНИЕ ЭКОЛОГИЧЕСКОЙ КУЛЬТУРЫ И РАЗВИТИЕ РЕБЕНКА СТАРШЕГО ДОШКОЛЬНОГО ВОЗРАСТА</t>
  </si>
  <si>
    <t>НиколаеваС.Н.</t>
  </si>
  <si>
    <t>978-5-16-011279-4</t>
  </si>
  <si>
    <t>801387.02.01</t>
  </si>
  <si>
    <t>Старообрядцы в России: ист. и совр., экономика...: Моногр. / В.П.Столбов - М.:НИЦ ИНФРА-М,2025. - 212 с.(п)</t>
  </si>
  <si>
    <t>СТАРООБРЯДЦЫ В РОССИИ: ИСТОРИЯ И СОВРЕМЕННОСТЬ, ЭКОНОМИКА, ЭТИКА, СОЦИАЛЬНАЯ БЛАГОТВОРИТЕЛЬНОСТЬ</t>
  </si>
  <si>
    <t>Столбов В.П.</t>
  </si>
  <si>
    <t>978-5-16-018695-5</t>
  </si>
  <si>
    <t>38.04.01, 38.06.01, 46.04.01</t>
  </si>
  <si>
    <t>700866.02.01</t>
  </si>
  <si>
    <t>Стилевые проявления при обуч. в усл. информ и цифровизации..: Моногр./Г.А.Никулова-М.:НИЦ ИНФРА-М,2023-173с (П)</t>
  </si>
  <si>
    <t>СТИЛЕВЫЕ ПРОЯВЛЕНИЯ ПРИ ОБУЧЕНИИ  В УСЛОВИЯХ ИНФОРМАТИЗАЦИИ И ЦИФРОВИЗАЦИИ ОБРАЗОВАНИЯ</t>
  </si>
  <si>
    <t>Никулова Г.А., Боброва Л.Н.</t>
  </si>
  <si>
    <t>978-5-16-014837-3</t>
  </si>
  <si>
    <t>44.03.01, 44.03.05, 44.04.01, 44.04.04</t>
  </si>
  <si>
    <t>681636.04.01</t>
  </si>
  <si>
    <t>Стимулирование перехода к низкоуглеродной экономике: Моногр./ И.С.Белик-М.:НИЦ ИНФРА-М,2024-104с(О)</t>
  </si>
  <si>
    <t>СТИМУЛИРОВАНИЕ ПЕРЕХОДА К НИЗКОУГЛЕРОДНОЙ ЭКОНОМИКЕ</t>
  </si>
  <si>
    <t>Белик И.С., Стародубец Н.В., Майорова Т.В. и др.</t>
  </si>
  <si>
    <t>978-5-16-013789-6</t>
  </si>
  <si>
    <t>776813.01.01</t>
  </si>
  <si>
    <t>Стихотворение-каталог в немецкоязычной поэзии: Моногр. / Т.Н.Андреюшкина-М.:НИЦ ИНФРА-М,2022.-144 с.(О)</t>
  </si>
  <si>
    <t>СТИХОТВОРЕНИЕ-КАТАЛОГ В НЕМЕЦКОЯЗЫЧНОЙ ПОЭЗИИ XX ВЕКА</t>
  </si>
  <si>
    <t>Андреюшкина Т.Н.</t>
  </si>
  <si>
    <t>978-5-16-017703-8</t>
  </si>
  <si>
    <t>45.03.01, 45.06.01</t>
  </si>
  <si>
    <t>694769.04.01</t>
  </si>
  <si>
    <t>Стихотворный текст: междисциплин. интерпр.: Моногр. / Л.Н.Синельникова -М:НИЦ ИНФРА-М,2024-267с(о)</t>
  </si>
  <si>
    <t>СТИХОТВОРНЫЙ ТЕКСТ: МЕЖДИСЦИПЛИНАРНАЯ ИНТЕРПРЕТАЦИЯ</t>
  </si>
  <si>
    <t>Синельникова Л.Н.</t>
  </si>
  <si>
    <t>978-5-16-018909-3</t>
  </si>
  <si>
    <t>45.03.01, 45.03.02, 45.04.01, 45.04.02</t>
  </si>
  <si>
    <t>813937.02.01</t>
  </si>
  <si>
    <t>Сто знаменитых дефектологов: биографиче. сл. / Т.А.Соловьева. - М.:НИЦ ИНФРА-М,2025. - 292 с [12+](п)</t>
  </si>
  <si>
    <t>СТО ЗНАМЕНИТЫХ ДЕФЕКТОЛОГОВ</t>
  </si>
  <si>
    <t>Соловьева Т.А., Коробейников И.А., Тимофеев М.А. и др.</t>
  </si>
  <si>
    <t>978-5-16-019320-5</t>
  </si>
  <si>
    <t>Биографический словарь</t>
  </si>
  <si>
    <t>431100.09.01</t>
  </si>
  <si>
    <t>Страдание и его роль в культуре: Моногр. / Ю.М. Антонян. - М.: Норма: НИЦ Инфра-М, 2026. - 224 с. (о)</t>
  </si>
  <si>
    <t>СТРАДАНИЕ И ЕГО РОЛЬ В КУЛЬТУРЕ</t>
  </si>
  <si>
    <t>Антонян Ю. М.</t>
  </si>
  <si>
    <t>978-5-91768-356-0</t>
  </si>
  <si>
    <t>47.03.01, 47.04.01, 51.04.01</t>
  </si>
  <si>
    <t>208400.11.01</t>
  </si>
  <si>
    <t>Страна своя и чужая: идея патриотизма.: Моногр. / С.Г.Воркачев - М.:НИЦ ИНФРА-М,2025 - 151 с.(Науч.мысль)(о)</t>
  </si>
  <si>
    <t>СТРАНА СВОЯ И ЧУЖАЯ: ИДЕЯ ПАТРИОТИЗМА В ЛИНГВОКУЛЬТУРЕ</t>
  </si>
  <si>
    <t>Воркачев С. Г.</t>
  </si>
  <si>
    <t>978-5-16-006811-4</t>
  </si>
  <si>
    <t>45.03.02, 45.03.03, 45.04.02</t>
  </si>
  <si>
    <t>411800.09.01</t>
  </si>
  <si>
    <t>Страны БРИКС в совр. мировой экономике: Моногр. / Е.Ф.Авдокушин -М.:Магистр, НИЦ ИНФРА-М, 2024-480с(п)</t>
  </si>
  <si>
    <t>СТРАНЫ БРИКС В СОВРЕМЕННОЙ МИРОВОЙ ЭКОНОМИКЕ</t>
  </si>
  <si>
    <t>Авдокушин Е. Ф., Жариков М. В.</t>
  </si>
  <si>
    <t>978-5-9776-0255-6</t>
  </si>
  <si>
    <t>38.03.01, 38.04.01, 41.04.05</t>
  </si>
  <si>
    <t>737697.01.01</t>
  </si>
  <si>
    <t>Страны БРИКС: сотрудничество и партнерство...: Монография / Красавина Л.Н.-М.:НИЦ ИНФРА-М, 2019-285с(П)</t>
  </si>
  <si>
    <t>СТРАНЫ БРИКС: СОТРУДНИЧЕСТВО И ПАРТНЕРСТВО В УСЛОВИЯХ МНОГОПОЛЯРНОГО МИРА</t>
  </si>
  <si>
    <t>Красавина Л.Н., Ревенко Н.С.</t>
  </si>
  <si>
    <t>978-9949-7201-8-7</t>
  </si>
  <si>
    <t>475400.08.01</t>
  </si>
  <si>
    <t>Стратегии  борьбы с преступностью: Моногр. / В.Н.Кудрявцев - 2 изд. - М.:Юр.Норма,НИЦ ИНФРА-М,2026 - 368 с.(П)</t>
  </si>
  <si>
    <t>СТРАТЕГИИ  БОРЬБЫ С ПРЕСТУПНОСТЬЮ, ИЗД.2</t>
  </si>
  <si>
    <t>978-5-91768-704-9</t>
  </si>
  <si>
    <t>654194.04.01</t>
  </si>
  <si>
    <t>Стратегическая модель устойч. аграрного бизнеса: Моногр./ Д.Ю.Самыгин-М.:НИЦ ИНФРА-М,2020-161с.(П)</t>
  </si>
  <si>
    <t>СТРАТЕГИЧЕСКАЯ МОДЕЛЬ УСТОЙЧИВОСТИ АГРАРНОГО БИЗНЕСА: ПАРАМЕТРЫ, РИСКИ, РЕШЕНИЯ</t>
  </si>
  <si>
    <t>Самыгин Д.Ю., Барышников Н.Г.</t>
  </si>
  <si>
    <t>978-5-16-012744-6</t>
  </si>
  <si>
    <t>35.03.04, 38.03.01, 38.03.02, 38.04.01, 38.04.02</t>
  </si>
  <si>
    <t>148350.09.01</t>
  </si>
  <si>
    <t>Стратегические просчеты российск. полит. элиты: Моногр. / А.Д.Керимов-М.:Юр.Норма,НИЦ ИНФРА-М,2023-48(о)</t>
  </si>
  <si>
    <t>СТРАТЕГИЧЕСКИЕ ПРОСЧЕТЫ РОССИЙСКОЙ ПОЛИТИЧЕСКОЙ ЭЛИТЫ</t>
  </si>
  <si>
    <t>978-5-91768-156-6</t>
  </si>
  <si>
    <t>38.03.04, 40.03.01, 41.03.05, 41.03.06, 41.04.04, 44.03.01, 44.03.05, 47.03.01</t>
  </si>
  <si>
    <t>268300.08.01</t>
  </si>
  <si>
    <t>Стратегический анализ и бюджет. денеж..: Моногр. / Е.Б.Маевская - М.:НИЦ ИНФРА-М,2026 - 108 с.(Науч.мысль)(о)</t>
  </si>
  <si>
    <t>СТРАТЕГИЧЕСКИЙ АНАЛИЗ И БЮДЖЕТИРОВАНИЕ ДЕНЕЖНЫХ ПОТОКОВ КОММЕРЧЕСКИХ ОРГАНИЗАЦИЙ</t>
  </si>
  <si>
    <t>Маевская Е.Б.</t>
  </si>
  <si>
    <t>978-5-16-009615-5</t>
  </si>
  <si>
    <t>651574.05.01</t>
  </si>
  <si>
    <t>Стратегический менеджмент. Модели и процедуры: Моногр./ В.А.Агафонов - М.:НИЦ ИНФРА-М,2026 - 276 с.(П)</t>
  </si>
  <si>
    <t>СТРАТЕГИЧЕСКИЙ МЕНЕДЖМЕНТ. МОДЕЛИ И ПРОЦЕДУРЫ</t>
  </si>
  <si>
    <t>Агафонов В.А.</t>
  </si>
  <si>
    <t>978-5-16-012616-6</t>
  </si>
  <si>
    <t>38.03.01, 38.03.02, 38.03.04, 38.04.01, 38.04.02, 38.04.04, 41.03.06, 44.03.05</t>
  </si>
  <si>
    <t>159900.11.01</t>
  </si>
  <si>
    <t>Стратегический менеджмент: понятия, концепции...: Справ. пос. / В.Д.Маркова - М.: ИНФРА-М,2025-320с(о)</t>
  </si>
  <si>
    <t>СТРАТЕГИЧЕСКИЙ МЕНЕДЖМЕНТ: ПОНЯТИЯ, КОНЦЕПЦИИ, ИНСТРУМЕНТЫ ПРИНЯТИЯ РЕШЕНИЙ</t>
  </si>
  <si>
    <t>Маркова В. Д., Кузнецова С. А.</t>
  </si>
  <si>
    <t>978-5-16-009860-9</t>
  </si>
  <si>
    <t>38.03.02, 38.03.04, 38.04.02, 38.04.04, 38.04.08, 41.03.06, 44.03.05</t>
  </si>
  <si>
    <t>277300.06.01</t>
  </si>
  <si>
    <t>Стратегическое взаимодействие рыноч. субъектов..: Моногр. / В.Н.Наумов - М.: НИЦ ИНФРА-М, 2024-270с.</t>
  </si>
  <si>
    <t>СТРАТЕГИЧЕСКОЕ ВЗАИМОДЕЙСТВИЕ РЫНОЧНЫХ СУБЪЕКТОВ В МАРКЕТИНГОВЫХ СИСТЕМАХ</t>
  </si>
  <si>
    <t>Наумов В.Н., Шубаева В.Г.</t>
  </si>
  <si>
    <t>978-5-16-009782-4</t>
  </si>
  <si>
    <t>727930.05.01</t>
  </si>
  <si>
    <t>Стратегическое планир. в гос. секторе экономики/ Под ред. Сильвестрова С.Н.-М.:НИЦ ИНФРА-М,2024.-344 с.(П)</t>
  </si>
  <si>
    <t>СТРАТЕГИЧЕСКОЕ ПЛАНИРОВАНИЕ В ГОСУДАРСТВЕННОМ СЕКТОРЕ ЭКОНОМИКИ</t>
  </si>
  <si>
    <t>Сильвестров С.Н., Старовойтов В.Г., Бауэр В.П. и др.</t>
  </si>
  <si>
    <t>978-5-16-016105-1</t>
  </si>
  <si>
    <t>796114.05.01</t>
  </si>
  <si>
    <t>Стратегическое планир. развит. эконом. в условиях цифровиз. / А.В.Поволян - М.:Магистр, НИЦ ИНФРА-М,2025 - 304 с.(П)</t>
  </si>
  <si>
    <t>СТРАТЕГИЧЕСКОЕ ПЛАНИРОВАНИЕ РАЗВИТИЯ ЭКОНОМИКИ В УСЛОВИЯХ ЦИФРОВИЗАЦИИ: ИНСТРУМЕНТЫ, СПОСОБЫ, МЕТОДЫ</t>
  </si>
  <si>
    <t>Половян А.В., Синицына К.И.</t>
  </si>
  <si>
    <t>978-5-9776-0549-6</t>
  </si>
  <si>
    <t>27.04.07, 38.04.01, 38.04.02, 38.04.04, 38.04.09, 38.06.01</t>
  </si>
  <si>
    <t>823069.01.01</t>
  </si>
  <si>
    <t>Стратегическое планир. устойчивого развития агропродов. сектора / Д.Ю.Самыгин-М.:НИЦ ИНФРА-М,2025.-303 с.(о)</t>
  </si>
  <si>
    <t>СТРАТЕГИЧЕСКОЕ ПЛАНИРОВАНИЕ УСТОЙЧИВОГО РАЗВИТИЯ АГРОПРОДОВОЛЬСТВЕННОГО СЕКТОРА</t>
  </si>
  <si>
    <t>978-5-16-019789-0</t>
  </si>
  <si>
    <t>38.03.01, 38.06.01</t>
  </si>
  <si>
    <t>742793.01.01</t>
  </si>
  <si>
    <t>Стратегическое развит. материально-технич. обеспеч. ж/д транспорта / А.В.Цевелев-М.:НИЦ ИНФРА-М,2021.-229 с.(О)</t>
  </si>
  <si>
    <t>СТРАТЕГИЧЕСКОЕ РАЗВИТИЕ МАТЕРИАЛЬНО-ТЕХНИЧЕСКОГО ОБЕСПЕЧЕНИЯ ЖЕЛЕЗНОДОРОЖНОГО ТРАНСПОРТА</t>
  </si>
  <si>
    <t>978-5-16-016594-3</t>
  </si>
  <si>
    <t>23.05.04, 23.05.05, 23.06.01</t>
  </si>
  <si>
    <t>760124.03.01</t>
  </si>
  <si>
    <t>Стратегическое развит. нефтегаз. компл. России: Моногр. / С.Е.Трофимов - М.:НИЦ ИНФРА-М,2025. - 157 с.(П)</t>
  </si>
  <si>
    <t>СТРАТЕГИЧЕСКОЕ РАЗВИТИЕ НЕФТЕГАЗОВОГО КОМПЛЕКСА РОССИИ: ТЕОРЕТИЧЕСКИЕ ОСНОВЫ, СПЕЦИФИКА И ГЛОБАЛИЗАЦИОННЫЕ АСПЕКТЫ ГОСУДАРСТВЕННОГО РЕГУЛИРОВАНИЯ</t>
  </si>
  <si>
    <t>978-5-16-017075-6</t>
  </si>
  <si>
    <t>818392.01.01</t>
  </si>
  <si>
    <t>Стратегическое управ. эффектив. сферы туристско-рекреацион.../ Н.В.Рубцова-М.:НИЦ ИНФРА-М,2024.-359 с(п)</t>
  </si>
  <si>
    <t>СТРАТЕГИЧЕСКОЕ УПРАВЛЕНИЕ ЭФФЕКТИВНОСТЬЮ СФЕРЫ ТУРИСТСКО-РЕКРЕАЦИОННЫХ УСЛУГ РЕГИОНА</t>
  </si>
  <si>
    <t>Рубцова Н.В.</t>
  </si>
  <si>
    <t>978-5-16-019611-4</t>
  </si>
  <si>
    <t>43.03.02, 43.04.02, 49.03.03</t>
  </si>
  <si>
    <t>313800.06.01</t>
  </si>
  <si>
    <t>Стратегическое управление финансами: как добиться.. / В.А.Кашин - М.:Магистр,НИЦ ИНФРА-М,2025 - 176 с..(о)</t>
  </si>
  <si>
    <t>СТРАТЕГИЧЕСКОЕ УПРАВЛЕНИЕ ФИНАНСАМИ: КАК ДОБИТЬСЯ ЛИЧНОГО ФИНАНСОВОГО БЛАГОПОЛУЧИЯ</t>
  </si>
  <si>
    <t>Кашин В.А., Панков В.В., Перов В.И.</t>
  </si>
  <si>
    <t>978-5-9776-0346-1</t>
  </si>
  <si>
    <t>38.03.01, 38.03.02, 38.04.01, 38.04.02, 38.04.08, 38.06.01, 38.07.02</t>
  </si>
  <si>
    <t>633744.02.01</t>
  </si>
  <si>
    <t>Стратегия восстанов. конкурент..: Моногр. / В.А.Баринов-М.:ИЦ РИОР,НИЦ ИНФРА-М,2019-274с(Науч.мысль)</t>
  </si>
  <si>
    <t>СТРАТЕГИЯ ВОССТАНОВЛЕНИЯ КОНКУРЕНТОСПОСОБНОСТИ ОТЕЧЕСТВЕННОЙ РАКЕТНО-КОСМИЧЕСКОЙ ПРОМЫШЛЕННОСТИ</t>
  </si>
  <si>
    <t>Баринов В.А., Окатьев Н.А.</t>
  </si>
  <si>
    <t>978-5-369-01567-4</t>
  </si>
  <si>
    <t>25.00.00, 24.03.01, 24.04.01, 24.05.01, 24.05.04, 38.04.01, 38.04.02</t>
  </si>
  <si>
    <t>271800.09.01</t>
  </si>
  <si>
    <t>Стратегия и механизмы устойчив. развития региона: Моногр. / С.М.Вдовин - М.:НИЦ ИНФРА-М,2025 - 154с(О)</t>
  </si>
  <si>
    <t>СТРАТЕГИЯ И МЕХАНИЗМЫ УСТОЙЧИВОГО РАЗВИТИЯ РЕГИОНА</t>
  </si>
  <si>
    <t>Вдовин С. М.</t>
  </si>
  <si>
    <t>978-5-16-016804-3</t>
  </si>
  <si>
    <t>176900.11.01</t>
  </si>
  <si>
    <t>Стратегия национал. безопасности России..: Моногр. / С.Н.Бабурин-М:Магистр,НИЦ ИНФРА-М,2023 -512с(О)</t>
  </si>
  <si>
    <t>СТРАТЕГИЯ НАЦИОНАЛЬНОЙ БЕЗОПАСНОСТИ РОССИИ: ТЕОРЕТИКО-МЕТОДОЛОГИЧЕСКИЕ АСПЕКТЫ</t>
  </si>
  <si>
    <t>Бабурин С.Н., Дзлиев М.И., Урсул А.Д.</t>
  </si>
  <si>
    <t>978-5-9776-0224-2</t>
  </si>
  <si>
    <t>38.05.01</t>
  </si>
  <si>
    <t>656418.04.01</t>
  </si>
  <si>
    <t>Стратегия национальной безопасности РФ - 2 изд. - М.:НИЦ ИНФРА-М,2020 - 84 с.(О)</t>
  </si>
  <si>
    <t>СТРАТЕГИЯ НАЦИОНАЛЬНОЙ БЕЗОПАСНОСТИ РОССИЙСКОЙ ФЕДЕРАЦИИ, ИЗД.2</t>
  </si>
  <si>
    <t>978-5-16-012784-2</t>
  </si>
  <si>
    <t>38.03.01, 38.03.04, 38.04.01, 38.04.04, 38.05.01, 41.03.04, 41.03.05, 41.04.04, 41.04.05</t>
  </si>
  <si>
    <t>656418.03.01</t>
  </si>
  <si>
    <t>Стратегия национальной безопасности РФ - М.:НИЦ ИНФРА-М,2019 - 40 с.(О)</t>
  </si>
  <si>
    <t>СТРАТЕГИЯ НАЦИОНАЛЬНОЙ БЕЗОПАСНОСТИ РОССИЙСКОЙ ФЕДЕРАЦИИ</t>
  </si>
  <si>
    <t>656418.11.01</t>
  </si>
  <si>
    <t>Стратегия национальной безопасности РФ /  - 3 изд., доп. - М.:НИЦ ИНФРА-М,2024. - 101 с.(О)</t>
  </si>
  <si>
    <t>СТРАТЕГИЯ НАЦИОНАЛЬНОЙ БЕЗОПАСНОСТИ РОССИЙСКОЙ ФЕДЕРАЦИИ, ИЗД.3</t>
  </si>
  <si>
    <t>978-5-16-016495-3</t>
  </si>
  <si>
    <t>656418.14.01</t>
  </si>
  <si>
    <t>Стратегия национальной безопасности РФ. - 4 изд., доп. - М.:НИЦ ИНФРА-М,2026. - 101 с.(О)</t>
  </si>
  <si>
    <t>СТРАТЕГИЯ НАЦИОНАЛЬНОЙ БЕЗОПАСНОСТИ РОССИЙСКОЙ ФЕДЕРАЦИИ, ИЗД.4</t>
  </si>
  <si>
    <t>978-5-16-019752-4</t>
  </si>
  <si>
    <t>0424</t>
  </si>
  <si>
    <t>655208.03.01</t>
  </si>
  <si>
    <t>Стратегия обеспеч.инвестиц.безопасности России: Моногр./ Ю.А.Шеховцова-М.:ИЦ РИОР,НИЦ ИНФРА-М,2022-346с.(О)</t>
  </si>
  <si>
    <t>СТРАТЕГИЯ ОБЕСПЕЧЕНИЯ ИНВЕСТИЦИОННОЙ БЕЗОПАСНОСТИ РОССИИ: ТЕОРИЯ И  МЕТОДОЛОГИЯ</t>
  </si>
  <si>
    <t>Шеховцова Ю.А.</t>
  </si>
  <si>
    <t>978-5-369-01670-1</t>
  </si>
  <si>
    <t>02.03.02, 10.04.01, 38.03.01, 38.03.04, 38.04.01, 38.04.04, 38.05.01, 40.03.01, 44.03.01, 44.03.05</t>
  </si>
  <si>
    <t>Саратовский военный ордена Жукова краснознаменный институт войск национальной гвардии Российской Федерации</t>
  </si>
  <si>
    <t>639394.04.01</t>
  </si>
  <si>
    <t>Стратегия разв.правосуд.в усл.глобализ.: Моногр. / Малько А.В. - М.:ИЦ РИОР,НИЦ ИНФРА-М,2022 - 227 с.(О)</t>
  </si>
  <si>
    <t>СТРАТЕГИЯ РАЗВИТИЯ ПРАВОСУДИЯ В УСЛОВИЯХ ГЛОБАЛИЗАЦИИ</t>
  </si>
  <si>
    <t>Саломатин А.Ю., Малько А.В., Терехин В.А. и др.</t>
  </si>
  <si>
    <t>978-5-369-01596-4</t>
  </si>
  <si>
    <t>794802.01.01</t>
  </si>
  <si>
    <t>Стратегия развития инфраструктуры массового спорта в России.../ А.В.Аверин-М.:НИЦ ИНФРА-М,2024.-215 с.(О)</t>
  </si>
  <si>
    <t>СТРАТЕГИЯ РАЗВИТИЯ ИНФРАСТРУКТУРЫ МАССОВОГО СПОРТА В РОССИИ НА ФЕДЕРАЛЬНОМ УРОВНЕ</t>
  </si>
  <si>
    <t>Аверин А.В., Алеева Г.И., Андреев Н.В. и др.</t>
  </si>
  <si>
    <t>978-5-16-018307-7</t>
  </si>
  <si>
    <t>38.04.01, 38.04.02, 38.04.04, 38.06.01, 43.04.01, 49.04.03, 49.06.01</t>
  </si>
  <si>
    <t>634683.03.01</t>
  </si>
  <si>
    <t>Стратегия развития ремонтных служб предпр.: Моногр. / Н.Т.Баскакова.-М.:НИЦ ИНФРА-М,2023.-255 с.(О)</t>
  </si>
  <si>
    <t>СТРАТЕГИЯ РАЗВИТИЯ РЕМОНТНЫХ СЛУЖБ ПРЕДПРИЯТИЯ</t>
  </si>
  <si>
    <t>Баскакова Н.Т., Якобсон З.В., Симаков Д.Б.</t>
  </si>
  <si>
    <t>978-5-16-016298-0</t>
  </si>
  <si>
    <t>20.03.02, 23.03.03, 29.03.03, 38.03.01, 38.03.02, 38.03.03, 38.03.04, 38.03.05, 38.03.06, 38.03.07, 38.04.01, 38.04.02, 38.04.03, 38.04.04, 38.04.05, 38.04.06, 38.04.08, 41.03.06, 44.03.01</t>
  </si>
  <si>
    <t>723065.01.01</t>
  </si>
  <si>
    <t>Стратегия управ. корпоративными финансами...: Моногр. / М.В.Чараева-М.:НИЦ ИНФРА-М,2021.-218 с.(Науч.мысль)(О)</t>
  </si>
  <si>
    <t>СТРАТЕГИЯ УПРАВЛЕНИЯ КОРПОРАТИВНЫМИ ФИНАНСАМИ: ИНВЕСТИЦИИ И РИСКИ</t>
  </si>
  <si>
    <t>Чараева М.В.</t>
  </si>
  <si>
    <t>978-5-16-015877-8</t>
  </si>
  <si>
    <t>670751.03.01</t>
  </si>
  <si>
    <t>Стратификационная система общества:...Моногр. /В.Х.Беленький-М.:НИЦ ИНФРА-М,СФУ,2023-244с(П)</t>
  </si>
  <si>
    <t>СТРАТИФИКАЦИОННАЯ СИСТЕМА ОБЩЕСТВА: НЕКОТОРЫЕ ВОПРОСЫ ТЕОРИИ И ПРАКТИКИ</t>
  </si>
  <si>
    <t>Беленький В.Х.</t>
  </si>
  <si>
    <t>978-5-16-013420-8</t>
  </si>
  <si>
    <t>39.04.01, 39.06.01, 39.07.01</t>
  </si>
  <si>
    <t>764144.06.01</t>
  </si>
  <si>
    <t>Страхование в условиях цифр. экономики: Моногр. / Под ред. Орланюка-Малицкой Л.А.-М.:ИНФРА-М,2024-258с.(о)</t>
  </si>
  <si>
    <t>СТРАХОВАНИЕ В УСЛОВИЯХ ЦИФРОВОЙ ЭКОНОМИКИ: НАУКА, ПРАКТИКА, ОБРАЗОВАНИЕ</t>
  </si>
  <si>
    <t>Адамчук Н.Г., Азимов Р.С., Белоусова Т.А. и др.</t>
  </si>
  <si>
    <t>978-5-16-016847-0</t>
  </si>
  <si>
    <t>182800.06.01</t>
  </si>
  <si>
    <t>Страховое право: теоретические основы..: Моногр. /Ю.Б.Фогельсон-М.:Юр.Норма,НИЦ ИНФРА-М,2021-576с(П)</t>
  </si>
  <si>
    <t>СТРАХОВОЕ ПРАВО: ТЕОРЕТИЧЕСКИЕ ОСНОВЫ И ПРАКТИКА ПРИМЕНЕНИЯ</t>
  </si>
  <si>
    <t>Фогельсон Ю. Б.</t>
  </si>
  <si>
    <t>978-5-91768-268-6</t>
  </si>
  <si>
    <t>734795.04.01</t>
  </si>
  <si>
    <t>Страховой риск: сравнит.-правовое исслед.: Моногр. / М.В.Кратенко - М.:Юр.Норма,НИЦ ИНФРА-М,2026 - 272 с.(П)</t>
  </si>
  <si>
    <t>СТРАХОВОЙ РИСК: СРАВНИТЕЛЬНО-ПРАВОВОЕ ИССЛЕДОВАНИЕ</t>
  </si>
  <si>
    <t>978-5-00156-066-1</t>
  </si>
  <si>
    <t>803692.08.01</t>
  </si>
  <si>
    <t>Строевой устав Вооруженных Сил РФ - М.:НИЦ ИНФРА-М,2026. - 101 с.(о)</t>
  </si>
  <si>
    <t>СТРОЕВОЙ УСТАВ ВООРУЖЕННЫХ СИЛ РОССИЙСКОЙ ФЕДЕРАЦИИ</t>
  </si>
  <si>
    <t>978-5-16-018485-2</t>
  </si>
  <si>
    <t>432559.0028.01</t>
  </si>
  <si>
    <t>Строительство и архитектура, 2020, том 8, № 4 (29)</t>
  </si>
  <si>
    <t>СТРОИТЕЛЬСТВО И АРХИТЕКТУРА, 2020, ТОМ 8, № 4 (29)</t>
  </si>
  <si>
    <t>08.03.01, 08.04.01, 08.05.01, 08.05.02, 08.05.03, 08.06.01</t>
  </si>
  <si>
    <t>824452.03.01</t>
  </si>
  <si>
    <t>Структурная модерн. рос. экономики: угрозы...: Моногр. / М.В.Дубовик - М.:НИЦ ИНФРА-М,2026 - 225 с.-(Науч.мысль)(п)</t>
  </si>
  <si>
    <t>СТРУКТУРНАЯ МОДЕРНИЗАЦИЯ РОССИЙСКОЙ ЭКОНОМИКИ: УГРОЗЫ, ВОЗМОЖНОСТИ,  ПЕРСПЕКТИВЫ</t>
  </si>
  <si>
    <t>Дубовик М.В., Осипов В.С., Бондаренко Н.Е. и др.</t>
  </si>
  <si>
    <t>978-5-16-019911-5</t>
  </si>
  <si>
    <t>699204.05.01</t>
  </si>
  <si>
    <t>Студенты России: жизненные приоритеты...: Моногр. / С.Д.Резник -  2 изд. - М.:НИЦ ИНФРА-М,2024-242с(О)</t>
  </si>
  <si>
    <t>СТУДЕНТЫ РОССИИ: ЖИЗНЕННЫЕ ПРИОРИТЕТЫ И СОЦИАЛЬНАЯ УСТОЙЧИВОСТЬ, ИЗД.2</t>
  </si>
  <si>
    <t>Резник С.Д., Черниковская М.В.</t>
  </si>
  <si>
    <t>978-5-16-014743-7</t>
  </si>
  <si>
    <t>694887.04.01</t>
  </si>
  <si>
    <t>Студенческий корпоративизм: испытания на прочность: Моногр. / Л.О.Терновая - М.:НИЦ ИНФРА-М,2025 - 383 с.(п)</t>
  </si>
  <si>
    <t>СТУДЕНЧЕСКИЙ КОРПОРАТИВИЗМ: ИСПЫТАНИЯ НА ПРОЧНОСТЬ</t>
  </si>
  <si>
    <t>978-5-16-014587-7</t>
  </si>
  <si>
    <t>39.03.03, 39.04.02, 39.04.03</t>
  </si>
  <si>
    <t>681314.05.01</t>
  </si>
  <si>
    <t>Субъективные права и обязан.в частном и публ.праве: Моногр. / Т.А.Солодовниченко-М.:НИЦ ИНФРА-М,2023-111с(О)</t>
  </si>
  <si>
    <t>СУБЪЕКТИВНЫЕ ПРАВА И ОБЯЗАННОСТИ В ЧАСТНОМ И ПУБЛИЧНОМ ПРАВЕ</t>
  </si>
  <si>
    <t>Солодовниченко Т.А.</t>
  </si>
  <si>
    <t>978-5-16-013795-7</t>
  </si>
  <si>
    <t>291000.07.01</t>
  </si>
  <si>
    <t>Субъекты современного международного права: Моногр. / О.И.Тиунов-М.:НИЦ ИНФРА-М,2023-184с.(ИЗиСП)(О)</t>
  </si>
  <si>
    <t>СУБЪЕКТЫ СОВРЕМЕННОГО МЕЖДУНАРОДНОГО ПРАВА</t>
  </si>
  <si>
    <t>Тиунов О.И., Авхадеев В.Р., Бальхаева С.Б. и др.</t>
  </si>
  <si>
    <t>978-5-16-015913-3</t>
  </si>
  <si>
    <t>749701.03.01</t>
  </si>
  <si>
    <t>Суд и право: евразийская интеграция: Моногр. / Т.Н.Нешатаева - М.:Юр. НОРМА, НИЦ ИНФРА-М,2024 - 336 с.(П)</t>
  </si>
  <si>
    <t>СУД И ПРАВО: ЕВРАЗИЙСКАЯ ИНТЕГРАЦИЯ</t>
  </si>
  <si>
    <t>Нешатаева Т.Н.</t>
  </si>
  <si>
    <t>978-5-00156-141-5</t>
  </si>
  <si>
    <t>781791.01.01</t>
  </si>
  <si>
    <t>Судебная баллистика: рус.-англ. и англ.-рус. сл.: Словарь / А.В.Кокин-М.:НИЦ ИНФРА-М,2024.-486 с.(п)</t>
  </si>
  <si>
    <t>СУДЕБНАЯ БАЛЛИСТИКА: РУССКО-АНГЛИЙСКИЙ И АНГЛО-РУССКИЙ СЛОВАРЬ</t>
  </si>
  <si>
    <t>978-5-16-017798-4</t>
  </si>
  <si>
    <t>40.03.01, 40.04.01, 40.05.03</t>
  </si>
  <si>
    <t>158100.08.01</t>
  </si>
  <si>
    <t>Судебная защита исключительных прав..: Моногр./Ю.Н.Андреев-М.:Юр.Норма, ИНФРА-М Изд. Дом,2022.-400 с.(П)</t>
  </si>
  <si>
    <t>СУДЕБНАЯ ЗАЩИТА ИСКЛЮЧИТЕЛЬНЫХ ПРАВ: ЦИВИЛИСТИЧЕСКИЕ АСПЕКТЫ</t>
  </si>
  <si>
    <t>978-5-91768-203-7</t>
  </si>
  <si>
    <t>692964.06.01</t>
  </si>
  <si>
    <t>Судебная лингвист. экспертиза рекламы: Моногр. / Е.А.Чубина - М.:Юр.Норма,НИЦ ИНФРА-М,2025 -192 с(П)</t>
  </si>
  <si>
    <t>СУДЕБНАЯ ЛИНГВИСТИЧЕСКАЯ ЭКСПЕРТИЗА РЕКЛАМЫ</t>
  </si>
  <si>
    <t>Чубина Е.А.</t>
  </si>
  <si>
    <t>978-5-91768-962-3</t>
  </si>
  <si>
    <t>656123.05.01</t>
  </si>
  <si>
    <t>Судебная практика в совр. правовой сист. России / Т.Я.Хабриева-М.:Юр.Норма,НИЦ ИНФРА-М,2024-432с.(П)</t>
  </si>
  <si>
    <t>СУДЕБНАЯ ПРАКТИКА В СОВРЕМЕННОЙ ПРАВОВОЙ СИСТЕМЕ РОССИИ</t>
  </si>
  <si>
    <t>978-5-91768-835-0</t>
  </si>
  <si>
    <t>058500.17.01</t>
  </si>
  <si>
    <t>Судебная экспертиза в гражд.,арбитр.,адм..: Моногр. / Е.Р.Россинская - 4 изд. - НОРМА:НИЦ ИНФРА-М,2025-576с(П)</t>
  </si>
  <si>
    <t>СУДЕБНАЯ ЭКСПЕРТИЗА В ГРАЖДАНСКОМ, АРБИТРАЖНОМ, АДМИНИСТРАТИВНОМ И УГОЛОВНОМ ПРОЦЕССЕ, ИЗД.4</t>
  </si>
  <si>
    <t>Россинская Е. Р.</t>
  </si>
  <si>
    <t>978-5-91768-955-5</t>
  </si>
  <si>
    <t>0418</t>
  </si>
  <si>
    <t>072260.15.01</t>
  </si>
  <si>
    <t>Судебная экспертиза: Курс общей теории: Моногр. / Т.В.Аверьянова - М.:Юр.Норма, НИЦ ИНФРА-М,2025 - 480 с.(П)</t>
  </si>
  <si>
    <t>СУДЕБНАЯ ЭКСПЕРТИЗА: КУРС ОБЩЕЙ ТЕОРИИ</t>
  </si>
  <si>
    <t>Аверьянова Т. В.</t>
  </si>
  <si>
    <t>978-5-91768-013-2</t>
  </si>
  <si>
    <t>Рекомендовано Учебно-методическим объединением образовательных учреждений профессионального образования в области судебной экспертизы для использования в учебном процессе по специальности  "Судебная экспертиза"</t>
  </si>
  <si>
    <t>823232.03.01</t>
  </si>
  <si>
    <t>Судебная юриспруденция...: Моногр. / Н.С.Бондарь - М.:Юр. НОРМА, НИЦ ИНФРА-М,2025. - 384 с.(п)</t>
  </si>
  <si>
    <t>СУДЕБНАЯ ЮРИСПРУДЕНЦИЯ: ОТ ДОКТРИНЫ К ЕДИНООБРАЗИЮ СУДЕБНОЙ ПРАКТИКИ</t>
  </si>
  <si>
    <t>Бондарь Н.С., Белякова А.В., Гаджиев Х.И. и др.</t>
  </si>
  <si>
    <t>978-5-00156-362-4</t>
  </si>
  <si>
    <t>795914.01.01</t>
  </si>
  <si>
    <t>Судебно-мед. экспертиза в гражданском судопроизвод.: Моногр. / Е.Х.Баринов-М.:НИЦ ИНФРА-М,2024.-188 с.(п)</t>
  </si>
  <si>
    <t>СУДЕБНО-МЕДИЦИНСКАЯ ЭКСПЕРТИЗА В ГРАЖДАНСКОМ СУДОПРОИЗВОДСТВЕ: ПРЕДМЕТНАЯ ОБЛАСТЬ, ПРЕДЕЛЫ И ПУТИ СОВЕРШЕНСТВОВАНИЯ</t>
  </si>
  <si>
    <t>Баринов Е.Х., Калинин Р.Э., Каменева К.Ю.</t>
  </si>
  <si>
    <t>978-5-16-018287-2</t>
  </si>
  <si>
    <t>Российский университет медицины</t>
  </si>
  <si>
    <t>068450.11.01</t>
  </si>
  <si>
    <t>Судебно-мед. экспертиза. Термины..: Сл. / И.В.Буромский - М.:Юр.Норма, НИЦ ИНФРА-М,2023 - 256 с(О)</t>
  </si>
  <si>
    <t>СУДЕБНО-МЕДИЦИНСКАЯ ЭКСПЕРТИЗА. ТЕРМИНЫ И ПОНЯТИЯ</t>
  </si>
  <si>
    <t>Буромский И.В., Клевно В.А., Пашинян Г.А.</t>
  </si>
  <si>
    <t>Словари для юристов-профессионалов</t>
  </si>
  <si>
    <t>978-5-91768-249-5</t>
  </si>
  <si>
    <t>31.05.01, 31.05.02, 31.05.03, 32.05.01, 33.05.01, 34.03.01, 40.03.01, 40.04.01</t>
  </si>
  <si>
    <t>864008.01.01</t>
  </si>
  <si>
    <t>Судебно-мед.. диагностика давности наступл. смерти детей../ Е.М.Кильдюшов -М.:Юр. НОРМА, НИЦ ИНФРА-М,2026.-80 с.(о)</t>
  </si>
  <si>
    <t>СУДЕБНО-МЕДИЦИНСКАЯ ДИАГНОСТИКА ДАВНОСТИ НАСТУПЛЕНИЯ СМЕРТИ ДЕТЕЙ ПО ДИНАМИКЕ ПОКАЗАТЕЛЕЙ ВНУТРИГЛАЗНОГО ДАВЛЕНИЯ</t>
  </si>
  <si>
    <t>Кильдюшов Е.М., Услонцев Д.Н., Соколова З.Ю. и др.</t>
  </si>
  <si>
    <t>978-5-00156-455-3</t>
  </si>
  <si>
    <t>31.05.01, 31.05.02, 31.05.03, 32.05.01, 40.03.01, 40.05.01, 40.05.02, 40.05.03</t>
  </si>
  <si>
    <t>746319.08.01</t>
  </si>
  <si>
    <t>Судебные доктрины в российском праве: теор. и практ. / П.П.Серков - М.:Юр.Норма, НИЦ ИНФРА-М,2026 - 344 с.(П)</t>
  </si>
  <si>
    <t>СУДЕБНЫЕ ДОКТРИНЫ В РОССИЙСКОМ ПРАВЕ: ТЕОРИЯ И ПРАКТИКА</t>
  </si>
  <si>
    <t>Серков П.П., Лазарев В.В., Гаджиев Х. и др.</t>
  </si>
  <si>
    <t>978-5-00156-110-1</t>
  </si>
  <si>
    <t>141250.09.01</t>
  </si>
  <si>
    <t>Судебный конституционализм:доктрина..: Моногр. / Н.С.Бондарь - 2 изд.-М.:Юр.Норма,НИЦ ИНФРА-М,2024-528с(п)</t>
  </si>
  <si>
    <t>СУДЕБНЫЙ КОНСТИТУЦИОНАЛИЗМ: ДОКТРИНА И ПРАКТИКА, ИЗД.2</t>
  </si>
  <si>
    <t>Бондарь Н. С.</t>
  </si>
  <si>
    <t>978-5-91768-654-7</t>
  </si>
  <si>
    <t>675397.04.01</t>
  </si>
  <si>
    <t>Судебный конституционный нормоконтроль...: Моногр./ Е.В.Тарибо-М.:Юр.Норма, НИЦ ИНФРА-М,2023-256с(П)</t>
  </si>
  <si>
    <t>СУДЕБНЫЙ КОНСТИТУЦИОННЫЙ НОРМОКОНТРОЛЬ: ОСМЫСЛЕНИЕ РОССИЙСКОГО ОПЫТА</t>
  </si>
  <si>
    <t>Тарибо Е.В.</t>
  </si>
  <si>
    <t>978-5-91768-890-9</t>
  </si>
  <si>
    <t>708106.04.01</t>
  </si>
  <si>
    <t>Судейский корпус России: соверш...: Моногр. / М.И.Клеандров - М.:Юр.Норма, НИЦ ИНФРА-М,2023 - 320 с(П)</t>
  </si>
  <si>
    <t>СУДЕЙСКИЙ КОРПУС РОССИИ: СОВЕРШЕНСТВОВАНИЕ МЕХАНИЗМА ФОРМИРОВАНИЯ</t>
  </si>
  <si>
    <t>978-5-91768-692-9</t>
  </si>
  <si>
    <t>275600.05.01</t>
  </si>
  <si>
    <t>Судейское сообщество в России и других гос. СНГ / М.И.Клеандров-М:Юр.Норма, НИЦ ИНФРА-М,2019-256с(П)</t>
  </si>
  <si>
    <t>СУДЕЙСКОЕ СООБЩЕСТВО В РОССИИ И ДРУГИХ ГОСУДАРСТВАХ СНГ</t>
  </si>
  <si>
    <t>Клеандров М. И., Краснов Д. А.</t>
  </si>
  <si>
    <t>978-5-91768-488-8</t>
  </si>
  <si>
    <t>266600.08.01</t>
  </si>
  <si>
    <t>Судейское сообщество: структура, организ.-прав...: Моногр. / М.И.Клеандров - М:Норма:ИНФРА-М,2025 - 352 с. (о)</t>
  </si>
  <si>
    <t>СУДЕЙСКОЕ СООБЩЕСТВО: СТРУКТУРА, ОРГАНИЗАЦИОННО-ПРАВОВОЕ РАЗВИТИЕ</t>
  </si>
  <si>
    <t>Клеандров М. И.</t>
  </si>
  <si>
    <t>978-5-91768-464-2</t>
  </si>
  <si>
    <t>699274.05.01</t>
  </si>
  <si>
    <t>Судьба Евросоюза и уроки для Рос.: Моногр. / Под ред. Гулякова А.Д., - 2 изд.-М.:ИЦ РИОР, НИЦ ИНФРА-М,2023.-304 с.(П)</t>
  </si>
  <si>
    <t>СУДЬБА ЕВРОСОЮЗА И УРОКИ ДЛЯ РОССИИ, ИЗД.2</t>
  </si>
  <si>
    <t>Саломатин А.Ю., Гуляков А.Д., Малько А.В.</t>
  </si>
  <si>
    <t>978-5-369-01881-1</t>
  </si>
  <si>
    <t>38.04.01, 38.06.01, 40.04.01, 40.06.01, 41.04.01, 41.04.04, 41.04.05, 41.06.01</t>
  </si>
  <si>
    <t>699274.02.01</t>
  </si>
  <si>
    <t>Судьба Евросоюза и уроки для России / Под ред. Гулякова А.Д. - М.:ИЦ РИОР, НИЦ ИНФРА-М,2020-248с(П)</t>
  </si>
  <si>
    <t>СУДЬБА ЕВРОСОЮЗА И УРОКИ ДЛЯ РОССИИ</t>
  </si>
  <si>
    <t>978-5-369-01797-5</t>
  </si>
  <si>
    <t>250800.07.01</t>
  </si>
  <si>
    <t>Судьба континента Сибирь: пробл. разв..: Сб. стат./ Под ред. В.С.Ефимова - ИНФРА-М;СФУ, 2023-188 с.(О)</t>
  </si>
  <si>
    <t>СУДЬБА КОНТИНЕНТА СИБИРЬ: ПРОБЛЕМЫ РАЗВИТИЯ. ЭКСПЕРТНЫЙ ДИСКУРС</t>
  </si>
  <si>
    <t>Ефимов В. С.</t>
  </si>
  <si>
    <t>978-5-16-009359-8</t>
  </si>
  <si>
    <t>38.03.01, 38.04.01, 41.03.02, 41.04.02, 44.03.01</t>
  </si>
  <si>
    <t>221600.05.01</t>
  </si>
  <si>
    <t>Судьба французского языка в Африке..: Моногр./ Ж.Багана - М.: НИЦ ИНФРА-М, 2023-150с.(Научная мысль) (о)</t>
  </si>
  <si>
    <t>СУДЬБА ФРАНЦУЗСКОГО ЯЗЫКА В АФРИКЕ: СОЦИОЛИНГВИСТИЧЕСКИЕ И ЛИНГВОКУЛЬТУРОЛОГИЧЕСКИЕ ОСОБЕННОСТИ</t>
  </si>
  <si>
    <t>Багана Ж., Лангнер А. Н.</t>
  </si>
  <si>
    <t>978-5-16-008974-4</t>
  </si>
  <si>
    <t>706520.02.01</t>
  </si>
  <si>
    <t>Суперэлементы. Моделир. разработки нефтяных...: Моногр. / А.Б.Мазо-М.:НИЦ ИНФРА-М,2022.-220 с..-(Науч.мысль)(О)</t>
  </si>
  <si>
    <t>СУПЕРЭЛЕМЕНТЫ. МОДЕЛИРОВАНИЕ РАЗРАБОТКИ НЕФТЯНЫХ МЕСТОРОЖДЕНИЙ</t>
  </si>
  <si>
    <t>Мазо А.Б., Поташев К.А.</t>
  </si>
  <si>
    <t>978-5-16-017150-0</t>
  </si>
  <si>
    <t>21.04.01, 21.05.05, 21.05.06, 21.06.01</t>
  </si>
  <si>
    <t>849699.01.01</t>
  </si>
  <si>
    <t>США накануне Гражданской войны: Моногр. / Т.В.Алентьева - М.:НИЦ ИНФРА-М,2026. - 356 с.-(Науч.мысль)(п)</t>
  </si>
  <si>
    <t>США НАКАНУНЕ ГРАЖДАНСКОЙ ВОЙНЫ</t>
  </si>
  <si>
    <t>978-5-16-020735-3</t>
  </si>
  <si>
    <t>41.03.01, 41.04.01, 41.04.04, 41.04.05, 41.06.01</t>
  </si>
  <si>
    <t>670745.06.01</t>
  </si>
  <si>
    <t>Сюжетная типология рус. лит. XI-XX в.: Моногр. / В.К.Васильев - М.:НИЦ ИНФРА-М,2025 - 259 с.(П)</t>
  </si>
  <si>
    <t>СЮЖЕТНАЯ ТИПОЛОГИЯ РУССКОЙ ЛИТЕРАТУРЫ XI-XX ВЕКОВ (АРХЕТИПЫ РУССКОЙ КУЛЬТУРЫ). ОТ СРЕДНЕВЕКОВЬЯ К НОВОМУ ВРЕМЕНИ</t>
  </si>
  <si>
    <t>Васильев В.К.</t>
  </si>
  <si>
    <t>978-5-16-017631-4</t>
  </si>
  <si>
    <t>299700.07.01</t>
  </si>
  <si>
    <t>Таможенный контроль товаров, содерж....: Моногр. / С.А.Агамагомедова - М.:НИЦ ИНФРА-М,2023 - 160 с.(о)</t>
  </si>
  <si>
    <t>ТАМОЖЕННЫЙ КОНТРОЛЬ ТОВАРОВ, СОДЕРЖАЩИХ ОБЪЕКТЫ ИНТЕЛЛЕКТУАЛЬНОЙ СОБСТВЕННОСТИ</t>
  </si>
  <si>
    <t>978-5-16-010146-0</t>
  </si>
  <si>
    <t>435700.05.01</t>
  </si>
  <si>
    <t>Тарифная и ценовая полит.в жилищ...:Моногр./А.Н.Ряховская-М.:НИЦ ИНФРА-М,2024-124с.(Науч.мысль)(о)</t>
  </si>
  <si>
    <t>ТАРИФНАЯ И ЦЕНОВАЯ ПОЛИТИКА В ЖИЛИЩНОЙ И КОММУНАЛЬНОЙ СФЕРАХ</t>
  </si>
  <si>
    <t>Ряховская А.Н., Таги-Заде Ф.Г.</t>
  </si>
  <si>
    <t>978-5-16-011333-3</t>
  </si>
  <si>
    <t>696565.03.01</t>
  </si>
  <si>
    <t>Творческое наследие К.Маркса и соврем. философия: Моногр. / С.А.Нижников - М.:НИЦ ИНФРА-М,2022 - 199 с(О)</t>
  </si>
  <si>
    <t>ТВОРЧЕСКОЕ НАСЛЕДИЕ К. МАРКСА И СОВРЕМЕННАЯ ФИЛОСОФИЯ</t>
  </si>
  <si>
    <t>Нижников С.А., Лагунов А.А., Гобозов И.А. и др.</t>
  </si>
  <si>
    <t>978-5-16-016393-2</t>
  </si>
  <si>
    <t>842847.01.01</t>
  </si>
  <si>
    <t>Творческое начало в разговорной речи...: Моногр. / В.К.Харченко - М.:НИЦ ИНФРА-М,2025. - 192 с.(Науч.мысль)(о)</t>
  </si>
  <si>
    <t>ТВОРЧЕСКОЕ НАЧАЛО В РАЗГОВОРНОЙ РЕЧИ: РЕДКИЕ ПРИЁМЫ, МАЛОИЗУЧЕННЫЕ ФАКТЫ</t>
  </si>
  <si>
    <t>978-5-16-020447-5</t>
  </si>
  <si>
    <t>678270.05.01</t>
  </si>
  <si>
    <t>Театр героев А.П.Чехова: Моногр. / К.В.Борисова - М.:НИЦ ИНФРА-М,2023 - 112 с.(Науч.мысль)(О)</t>
  </si>
  <si>
    <t>ТЕАТР ГЕРОЕВ А.П.ЧЕХОВА</t>
  </si>
  <si>
    <t>Борисова К.В.</t>
  </si>
  <si>
    <t>978-5-16-013647-9</t>
  </si>
  <si>
    <t>41.03.06, 42.03.02, 42.03.03, 42.03.04, 44.03.05, 45.03.01</t>
  </si>
  <si>
    <t>664278.01.01</t>
  </si>
  <si>
    <t>Текст и коммуникация (филос. размыш.).: Моногр. / Л.Т.Рыскельдиева-М.:Вуз.уч.,НИЦ ИНФРА-М,2018-179с</t>
  </si>
  <si>
    <t>ТЕКСТ И КОММУНИКАЦИЯ (ФИЛОСОФСКИЕ РАЗМЫШЛЕНИЯ).</t>
  </si>
  <si>
    <t>Рыскельдиева Л.Т., Коротченко Ю.М., Шапиро О.А. и др.</t>
  </si>
  <si>
    <t>Научная книга (КФУ)</t>
  </si>
  <si>
    <t>978-5-9558-0589-4</t>
  </si>
  <si>
    <t>818129.02.01</t>
  </si>
  <si>
    <t>Текстильное материаловедение в усл. Индустрии 4.0...: Моногр. / А.В.Абрамов - М.:НИЦ ИНФРА-М,2025 - 290 с.(п)</t>
  </si>
  <si>
    <t>ТЕКСТИЛЬНОЕ МАТЕРИАЛОВЕДЕНИЕ В УСЛОВИЯХ ИНДУСТРИИ 4.0: ЦИФРОВЫЕ ДВОЙНИКИ ТЕКСТИЛЬНЫХ МАТЕРИАЛОВ</t>
  </si>
  <si>
    <t>Абрамов А.В., Шустов Ю.С., Родичева М.В.</t>
  </si>
  <si>
    <t>978-5-16-019468-4</t>
  </si>
  <si>
    <t>09.03.02, 29.03.01, 29.04.05</t>
  </si>
  <si>
    <t>773011.02.01</t>
  </si>
  <si>
    <t>Текстильные материалы: Терминологический сл.-справ. / А.В.Куличенко - М.:НИЦ ИНФРА-М,2025. - 176 с.(п)</t>
  </si>
  <si>
    <t>ТЕКСТИЛЬНЫЕ МАТЕРИАЛЫ</t>
  </si>
  <si>
    <t>Куличенко А.В.</t>
  </si>
  <si>
    <t>978-5-16-017830-1</t>
  </si>
  <si>
    <t>29.03.01, 29.03.05, 29.04.01, 29.04.02, 29.04.05</t>
  </si>
  <si>
    <t>765725.05.01</t>
  </si>
  <si>
    <t>Телематика на городском пассажир. транспорте: Моногр. / В.Н.Богумил - М.:НИЦ ИНФРА-М,2025 - 200 с(О)</t>
  </si>
  <si>
    <t>ТЕЛЕМАТИКА НА ГОРОДСКОМ ПАССАЖИРСКОМ ТРАНСПОРТЕ</t>
  </si>
  <si>
    <t>Богумил В.Н., Дуке Саранго М.</t>
  </si>
  <si>
    <t>978-5-16-017210-1</t>
  </si>
  <si>
    <t>11.04.02, 11.05.01, 11.06.01, 23.04.01, 23.04.02, 23.04.03, 23.05.01, 23.06.01</t>
  </si>
  <si>
    <t>741580.03.01</t>
  </si>
  <si>
    <t>Тематический коммент. к Закону РФ О ПОПРАВКЕ К КОНСТИТУЦИИ.... / Т.Я.Хабриeва — М.: Норма : ИНФРА-М, 2022-240с(П)</t>
  </si>
  <si>
    <t>ТЕМАТИЧЕСКИЙ КОММЕНТАРИЙ К ЗАКОНУ РОССИЙСКОЙ ФЕДЕРАЦИИ О ПОПРАВКЕ К КОНСТИТУЦИИ РОССИЙСКОЙ ФЕДЕРАЦИИ ОТ 14 МАРТА 2020 Г. № 1-ФКЗ</t>
  </si>
  <si>
    <t>Хабриева Т.Я., Клишас А.А.</t>
  </si>
  <si>
    <t>978-5-00156-090-6</t>
  </si>
  <si>
    <t>733366.01.01</t>
  </si>
  <si>
    <t>Теор.-метод.оценка учетно-отчет. адаптац. процессов...: Моногр./ Акатьева М.Д-М:ИНФРА-М, 2021.-213с(Науч.мысль)(О)</t>
  </si>
  <si>
    <t>ТЕОРЕТИКО-МЕТОДОЛОГИЧЕСКАЯ ОЦЕНКА УЧЕТНО-ОТЧЕТНЫХ АДАПТАЦИОННЫХ ПРОЦЕССОВ В УСЛОВИЯХ МИРОВОЙ ИНТЕГРАЦИИ РОССИЙСКОГО И МЕЖДУНАРОДНОГО ЗАКОНОДАТЕЛЬСТВА</t>
  </si>
  <si>
    <t>Акатьева М.Д., Бескоровайная С.А.</t>
  </si>
  <si>
    <t>978-5-16-016082-5</t>
  </si>
  <si>
    <t>812232.02.01</t>
  </si>
  <si>
    <t>Теоретико-ист. правовые науки в сис. совр. юр. знания / Т.Ф.Ящук. - М.:Юр. НОРМА, НИЦ ИНФРА-М,2026. - 192 с.(п)</t>
  </si>
  <si>
    <t>ТЕОРЕТИКО-ИСТОРИЧЕСКИЕ ПРАВОВЫЕ НАУКИ В СИСТЕМЕ СОВРЕМЕННОГО ЮРИДИЧЕСКОГО ЗНАНИЯ</t>
  </si>
  <si>
    <t>Ящук Т.Ф., Бироков С.В., Евстратов А.Э. и др.</t>
  </si>
  <si>
    <t>978-5-00156-326-6</t>
  </si>
  <si>
    <t>658372.04.01</t>
  </si>
  <si>
    <t>Теоретико-методич. основы экономики природопользования.../ В.В.Хлебникова-М.:Вуз.уч., НИЦ ИНФРА-М,2023.-120 с.(П)</t>
  </si>
  <si>
    <t>ТЕОРЕТИКО-МЕТОДИЧЕСКИЕ ОСНОВЫ ЭКОНОМИКИ ПРИРОДОПОЛЬЗОВАНИЯ ПО ПРЕДОТВРАЩЕНИЮ ЗАГРЯЗНЕНИЯ МОРЯ НЕФТЬЮ С СУДОВ</t>
  </si>
  <si>
    <t>Хлебникова В.В.</t>
  </si>
  <si>
    <t>978-5-9558-0577-1</t>
  </si>
  <si>
    <t>05.04.06, 05.06.01, 20.04.02, 20.06.01</t>
  </si>
  <si>
    <t>739892.01.01</t>
  </si>
  <si>
    <t>Теоретико-методологич. основы развит. экономич. субъекта... / О.В.Лихтарова-М.:НИЦ ИНФРА-М,2023-181с(О)</t>
  </si>
  <si>
    <t>ТЕОРЕТИКО-МЕТОДОЛОГИЧЕСКИЕ ОСНОВЫ РАЗВИТИЯ ЭКОНОМИЧЕСКОГО СУБЪЕКТА НА ОСНОВЕ СТЕЙКХОЛДЕРСКОГО ПОДХОДА</t>
  </si>
  <si>
    <t>Лихтарова О.В.</t>
  </si>
  <si>
    <t>978-5-16-016329-1</t>
  </si>
  <si>
    <t>486050.04.01</t>
  </si>
  <si>
    <t>Теоретико-методологич. подходы риск-менеджмента: Моногр. / Н.В.Капустина - М.:НИЦ ИНФРА-М,2025 - 140 с.(О)</t>
  </si>
  <si>
    <t>ТЕОРЕТИКО-МЕТОДОЛОГИЧЕСКИЕ ПОДХОДЫ РИСК-МЕНЕДЖМЕНТА</t>
  </si>
  <si>
    <t>978-5-16-010601-4</t>
  </si>
  <si>
    <t>740307.01.01</t>
  </si>
  <si>
    <t>Теоретико-методологический анализ соц. рисков совр. общества: Моногр. / С.Н.Илюшин-М.:НИЦ ИНФРА-М,2022.-159с.(Науч.мысль)(О)</t>
  </si>
  <si>
    <t>ТЕОРЕТИКО-МЕТОДОЛОГИЧЕСКИЙ АНАЛИЗ СОЦИАЛЬНЫХ РИСКОВ СОВРЕМЕННОГО ОБЩЕСТВА</t>
  </si>
  <si>
    <t>Илюшин С.Н., Микрюков В.О.</t>
  </si>
  <si>
    <t>978-5-16-016359-8</t>
  </si>
  <si>
    <t>823419.03.01</t>
  </si>
  <si>
    <t>Теоретико-правовые задачи сохр. природного потенциала России / В.Б.Агафонов - М.:НИЦ ИНФРА-М,2026. - 296 с.(п)</t>
  </si>
  <si>
    <t>ТЕОРЕТИКО-ПРАВОВЫЕ ЗАДАЧИ СОХРАНЕНИЯ ПРИРОДНОГО ПОТЕНЦИАЛА РОССИИ</t>
  </si>
  <si>
    <t>Агафонов В.Б., Бобылев С.Н., Боголюбов С.А. и др.</t>
  </si>
  <si>
    <t>978-5-16-019737-1</t>
  </si>
  <si>
    <t>655194.04.01</t>
  </si>
  <si>
    <t>Теоретико-правовые основы бюджетного устр. гос.: Моногр. / Х.В.Пешкова -М.:НИЦ ИНФРА-М,2023-315с(П)</t>
  </si>
  <si>
    <t>ТЕОРЕТИКО-ПРАВОВЫЕ ОСНОВЫ БЮДЖЕТНОГО УСТРОЙСТВА ГОСУДАРСТВА</t>
  </si>
  <si>
    <t>978-5-16-012952-5</t>
  </si>
  <si>
    <t>797518.01.01</t>
  </si>
  <si>
    <t>Теоретиче положения учетно-аналитич. обеспеч...: Моногр. / Н.С.Нечеухина.-М.:НИЦ ИНФРА-М,2024.-198 с.(п)</t>
  </si>
  <si>
    <t>ТЕОРЕТИЧЕСКИЕ ПОЛОЖЕНИЯ УЧЕТНО-АНАЛИТИЧЕСКОГО ОБЕСПЕЧЕНИЯ РЕЗУЛЬТАТИВНОСТИ И ЭФФЕКТИВНОСТИ</t>
  </si>
  <si>
    <t>Нечеухина Н.С., Мустафина О.В., Чепулянис А.В.</t>
  </si>
  <si>
    <t>978-5-16-019492-9</t>
  </si>
  <si>
    <t>38.03.02, 38.04.01, 38.04.02, 38.04.04, 38.04.08, 38.05.01, 38.06.01</t>
  </si>
  <si>
    <t>803998.01.01</t>
  </si>
  <si>
    <t>Теоретическая и эксперимент. лазерная дозиметрия / Б.Н.Рахманов-М.:НИЦ ИНФРА-М,2024.-210 с.(о)</t>
  </si>
  <si>
    <t>ТЕОРЕТИЧЕСКАЯ И ЭКСПЕРИМЕНТАЛЬНАЯ ЛАЗЕРНАЯ ДОЗИМЕТРИЯ</t>
  </si>
  <si>
    <t>Рахманов Б.Н., Кибовский В.Т.</t>
  </si>
  <si>
    <t>978-5-16-018696-2</t>
  </si>
  <si>
    <t>12.03.05, 14.03.02, 14.04.02, 31.05.01, 31.08.08, 31.08.61, 32.04.01, 32.05.01, 32.06.01, 32.08.09</t>
  </si>
  <si>
    <t>670056.03.01</t>
  </si>
  <si>
    <t>Теоретическая строгость как соотв.сист.и метода.:Моногр. / Е.В.Карелина-М.:НИЦ ИНФРА-М,СФУ,2023-119с</t>
  </si>
  <si>
    <t>ТЕОРЕТИЧЕСКАЯ СТРОГОСТЬ КАК СООТВЕТСТВИЕ СИСТЕМЫ И МЕТОДА В ФИЛОСОФИИ</t>
  </si>
  <si>
    <t>Карелина Е.В.</t>
  </si>
  <si>
    <t>978-5-16-013360-7</t>
  </si>
  <si>
    <t>766063.01.01</t>
  </si>
  <si>
    <t>Теоретические аспекты формир. и развития экол. экономики в России: Моногр. / Н.Г.Гаджиев, -М.:НИЦ ИНФРА-М,2022.-167 с.(О)</t>
  </si>
  <si>
    <t>ТЕОРЕТИЧЕСКИЕ АСПЕКТЫ ФОРМИРОВАНИЯ И РАЗВИТИЯ ЭКОЛОГИЧЕСКОЙ ЭКОНОМИКИ В РОССИИ</t>
  </si>
  <si>
    <t>978-5-16-017246-0</t>
  </si>
  <si>
    <t>20.06.01, 38.06.01, 38.07.02</t>
  </si>
  <si>
    <t>641121.06.01</t>
  </si>
  <si>
    <t>Теоретические и прав. аспекты розыск. деят. след.: Моногр. / В.В.Гончар-М.:НИЦ ИНФРА-М,2024-162с.(О)</t>
  </si>
  <si>
    <t>ТЕОРЕТИЧЕСКИЕ И ПРАВОВЫЕ АСПЕКТЫ РОЗЫСКНОЙ ДЕЯТЕЛЬНОСТИ СЛЕДОВАТЕЛЯ</t>
  </si>
  <si>
    <t>Гончар В.В.</t>
  </si>
  <si>
    <t>978-5-16-011273-2</t>
  </si>
  <si>
    <t>40.05.01, 40.05.02</t>
  </si>
  <si>
    <t>682927.01.01</t>
  </si>
  <si>
    <t>Теоретические и прак. аспекты разработки пищевых продуктов...: Моногр / Е.В.Пастушкова-М.:НИЦ ИНФРА-М,2019.-164 с.</t>
  </si>
  <si>
    <t>ТЕОРЕТИЧЕСКИЕ И ПРАКТИЧЕСКИЕ АСПЕКТЫ РАЗРАБОТКИ ПИЩЕВЫХ ПРОДУКТОВ АНТИОКСИДАНТНОГО НАПРАВЛЕНИЯ</t>
  </si>
  <si>
    <t>Пастушкова Е.В., Фозилова В.В.</t>
  </si>
  <si>
    <t>978-5-16-013941-8</t>
  </si>
  <si>
    <t>19.03.02, 19.04.02, 19.04.05</t>
  </si>
  <si>
    <t>398300.07.01</t>
  </si>
  <si>
    <t>Теоретические и соц. основы техносферы: Моногр./ А.Д.Иоселиани-М:НИЦ ИНФРА-М,2024-395(Науч.мысль)(П)</t>
  </si>
  <si>
    <t>ТЕОРЕТИЧЕСКИЕ И СОЦИАЛЬНЫЕ ОСНОВЫ ТЕХНОСФЕРЫ</t>
  </si>
  <si>
    <t>Иоселиани А.Д.</t>
  </si>
  <si>
    <t>978-5-16-011276-3</t>
  </si>
  <si>
    <t>20.03.01, 20.04.01, 40.03.01, 44.03.01, 44.03.05, 47.03.01, 47.04.01</t>
  </si>
  <si>
    <t>670459.03.01</t>
  </si>
  <si>
    <t>Теоретические основы анализа параметр.алгоритмов: Моногр. / В.В.Быкова-М.:НИЦ ИНФРА-М,СФУ,2024-181с.</t>
  </si>
  <si>
    <t>ТЕОРЕТИЧЕСКИЕ ОСНОВЫ АНАЛИЗА ПАРАМЕТРИЗИРОВАННЫХ АЛГОРИТМОВ</t>
  </si>
  <si>
    <t>Быкова В.В.</t>
  </si>
  <si>
    <t>978-5-16-013364-5</t>
  </si>
  <si>
    <t>666518.03.01</t>
  </si>
  <si>
    <t>Теоретические основы соц. права: Моногр./ С.В.Бирюков-М.:НИЦ ИНФРА-М,2021-325с.(Науч.мысль)(П)</t>
  </si>
  <si>
    <t>ТЕОРЕТИЧЕСКИЕ ОСНОВЫ СОЦИОЛОГИИ ПРАВА</t>
  </si>
  <si>
    <t>Бирюков С.В.</t>
  </si>
  <si>
    <t>978-5-16-013141-2</t>
  </si>
  <si>
    <t>481500.04.01</t>
  </si>
  <si>
    <t>Теоретическое обосн. прим. экструдир. сырья в..: Моногр. / П.К.Гарькина - 2 изд. - М.:НИЦ ИНФРА-М,2025. - 179 с.(о)</t>
  </si>
  <si>
    <t>ТЕОРЕТИЧЕСКОЕ ОБОСНОВАНИЕ ПРИМЕНЕНИЯ ЭКСТРУДИРОВАННОГО СЫРЬЯ В ТЕХНОЛОГИЯХ ПИЩЕВЫХ ПРОДУКТОВ, ИЗД.2</t>
  </si>
  <si>
    <t>Гарькина П.К., Курочкин А.А., Шабурова Г.В.</t>
  </si>
  <si>
    <t>978-5-16-020085-9</t>
  </si>
  <si>
    <t>19.03.02, 19.04.05</t>
  </si>
  <si>
    <t>481500.03.01</t>
  </si>
  <si>
    <t>Теоретическое обосн. прим.экструдир.сырья...: Моногр. / А.А.Курочкин - М.:НИЦ ИНФРА-М,2024-163с.(О)</t>
  </si>
  <si>
    <t>ТЕОРЕТИЧЕСКОЕ ОБОСНОВАНИЕ ПРИМЕНЕНИЯ ЭКСТРУДИРОВАННОГО СЫРЬЯ В ТЕХНОЛОГИЯХ ПИЩЕВЫХ ПРОДУКТОВ</t>
  </si>
  <si>
    <t>Курочкин А.А., Воронина В.П., Шабурова Г.В.</t>
  </si>
  <si>
    <t>978-5-16-011707-2</t>
  </si>
  <si>
    <t>645773.04.01</t>
  </si>
  <si>
    <t>Теория бизнес-организации: Моногр. / С.Н.Кукушкин и др. - М.:НИЦ ИНФРА-М,2026 - 238 с.(Науч.мысль)(П)</t>
  </si>
  <si>
    <t>ТЕОРИЯ БИЗНЕС-ОРГАНИЗАЦИИ</t>
  </si>
  <si>
    <t>Кукушкин С.Н., Янковская В.В., Наумова Е.А., Ярчак И.Л.</t>
  </si>
  <si>
    <t>978-5-16-012423-0</t>
  </si>
  <si>
    <t>27.04.07, 38.03.01, 38.03.02, 38.04.01, 38.04.02</t>
  </si>
  <si>
    <t>730055.01.01</t>
  </si>
  <si>
    <t>Теория возможного: Монография / С.В.Борзых - М.:НИЦ ИНФРА-М,2021 - 180 с.-(Науч.мысль)(О)</t>
  </si>
  <si>
    <t>ТЕОРИЯ ВОЗМОЖНОГО</t>
  </si>
  <si>
    <t>978-5-16-015992-8</t>
  </si>
  <si>
    <t>213100.04.01</t>
  </si>
  <si>
    <t>Теория глоб. систем и их имитационное упр.: Моногр. / Н.Б.Кобелев - М:Вуз.уч.,НИЦ ИНФРА-М,2022-278с(О)</t>
  </si>
  <si>
    <t>ТЕОРИЯ ГЛОБАЛЬНЫХ СИСТЕМ И ИХ ИМИТАЦИОННОЕ УПРАВЛЕНИЕ</t>
  </si>
  <si>
    <t>Кобелев Н. Б.</t>
  </si>
  <si>
    <t>978-5-9558-0309-8</t>
  </si>
  <si>
    <t>01.03.01, 01.03.02, 01.03.03, 01.04.01, 01.04.02, 01.04.03, 02.03.01, 02.03.02, 02.03.03, 03.03.01, 03.03.02, 03.03.03, 03.04.01, 04.03.02, 04.04.01</t>
  </si>
  <si>
    <t>005504.23.01</t>
  </si>
  <si>
    <t>Теория государства и права: Курс лекций / Н.И.Матузов - 3 изд. - М.:Юр.Норма,НИЦ ИНФРА-М,2026 - 640 с.(п)</t>
  </si>
  <si>
    <t>ТЕОРИЯ ГОСУДАРСТВА И ПРАВА, ИЗД.3</t>
  </si>
  <si>
    <t>Матузов Н. И., Воротников А. А., Кулапов В. Л., Матузов Н. И., Малько А. В.</t>
  </si>
  <si>
    <t>978-5-91768-271-6</t>
  </si>
  <si>
    <t>40.03.01, 40.05.01, 40.05.02, 40.05.03, 40.05.04, 41.03.01, 41.03.06, 44.03.05</t>
  </si>
  <si>
    <t>Рекомендовано УМО по юридическому образованию высших учебных заведений в качестве учебника для студентов вузов, обучающихся по специальности и направлению подготовки "Юриспруденция"</t>
  </si>
  <si>
    <t>0312</t>
  </si>
  <si>
    <t>644440.05.01</t>
  </si>
  <si>
    <t>Теория и методология исслед.взаимосвязи эконом.: Моногр. / Н.В.Родионова-М.:НИЦ ИНФРА-М,2025-317с(П)</t>
  </si>
  <si>
    <t>ТЕОРИЯ И МЕТОДОЛОГИЯ ИССЛЕДОВАНИЯ ВЗАИМОСВЯЗИ ЭКОНОМИЧЕСКИХ И СОЦИАЛЬНЫХ ПОКАЗАТЕЛЕЙ В СИСТЕМАХ УПРАВЛЕНИЯ ПРЕДПРИЯТИЯМИ</t>
  </si>
  <si>
    <t>Родионова Н.В.</t>
  </si>
  <si>
    <t>978-5-16-012965-5</t>
  </si>
  <si>
    <t>38.03.01, 38.03.02, 38.03.03, 38.03.04, 38.03.05, 38.03.06, 38.04.01, 38.04.02, 38.04.03, 38.04.04, 38.04.05, 38.04.06, 38.04.08, 41.03.06</t>
  </si>
  <si>
    <t>296300.07.01</t>
  </si>
  <si>
    <t>Теория и методология современной логистики: Моногр./ О.В.Рыкалина-М.:НИЦ ИНФРА-М,2022.-208 с.(Науч.мысль)(О)</t>
  </si>
  <si>
    <t>ТЕОРИЯ И МЕТОДОЛОГИЯ СОВРЕМЕННОЙ ЛОГИСТИКИ</t>
  </si>
  <si>
    <t>Рыкалина О.В.</t>
  </si>
  <si>
    <t>978-5-16-010098-2</t>
  </si>
  <si>
    <t>38.03.01, 38.03.02, 38.04.02, 41.03.06</t>
  </si>
  <si>
    <t>451550.05.01</t>
  </si>
  <si>
    <t>Теория и методология управ. конкурентоспос. бизнес..: Моногр./ С.А.Баронин - ИНФРА-М, 2023-329 с.(О)</t>
  </si>
  <si>
    <t>ТЕОРИЯ И МЕТОДОЛОГИЯ УПРАВЛЕНИЯ КОНКУРЕНТОСПОСОБНОСТЬЮ БИЗНЕС-СИСТЕМ</t>
  </si>
  <si>
    <t>Баронин С. А., Андреев В. А., Ботнарюк М. В., Баронин С. А., Семеркова Л. Н.</t>
  </si>
  <si>
    <t>978-5-16-009211-9</t>
  </si>
  <si>
    <t>38.03.02, 38.04.02</t>
  </si>
  <si>
    <t>634681.03.01</t>
  </si>
  <si>
    <t>Теория и методология форм. стратегий разв. горно-хим..: Моногр. /А.Л.Гендон-М.:НИЦ ИНФРА-М,2022-360с.(П)</t>
  </si>
  <si>
    <t>ТЕОРИЯ И МЕТОДОЛОГИЯ ФОРМИРОВАНИЯ СТРАТЕГИЙ РАЗВИТИЯ ГОРНО-ХИМИЧЕСКИХ ХОЛДИНГОВ</t>
  </si>
  <si>
    <t>Гендон А.Л.</t>
  </si>
  <si>
    <t>978-5-16-012112-3</t>
  </si>
  <si>
    <t>27.04.05, 38.03.02, 38.04.01, 38.04.02, 44.03.05</t>
  </si>
  <si>
    <t>468600.04.01</t>
  </si>
  <si>
    <t>Теория и организация экологического аудита: Моногр. / Л.В.Чхутиашвили - М.:НИЦ ИНФРА-М,2022 - 308 с.(П)</t>
  </si>
  <si>
    <t>ТЕОРИЯ И ОРГАНИЗАЦИЯ ЭКОЛОГИЧЕСКОГО АУДИТА</t>
  </si>
  <si>
    <t>978-5-16-011552-8</t>
  </si>
  <si>
    <t>05.03.06, 21.02.10, 38.03.01, 38.04.01, 38.04.08, 38.04.09</t>
  </si>
  <si>
    <t>149050.09.01</t>
  </si>
  <si>
    <t>Теория и практ.интегр.процес.в промышл.:Моногр./О.Ю.Мичурина-М.:НИЦ ИНФРА-М,2024-287с(Науч.мысль)(о)</t>
  </si>
  <si>
    <t>ТЕОРИЯ И ПРАКТИКА ИНТЕГРАЦИОННЫХ ПРОЦЕССОВ В ПРОМЫШЛЕННОСТИ</t>
  </si>
  <si>
    <t>Мичурина О. Ю.</t>
  </si>
  <si>
    <t>978-5-16-009838-8</t>
  </si>
  <si>
    <t>Астраханский государственный технический университет</t>
  </si>
  <si>
    <t>432700.04.01</t>
  </si>
  <si>
    <t>Теория и практ.прогноз.цен на энергорес.:Моногр./Ю.Н.Линник-М.:НИЦ ИНФРА-М,2024-339с.(Науч.мысль)(п)</t>
  </si>
  <si>
    <t>ТЕОРИЯ И ПРАКТИКА ПРОГНОЗИРОВАНИЯ ЦЕН НА ЭНЕРГОРЕСУРСЫ</t>
  </si>
  <si>
    <t>ЛинникЮ.Н., АфанасьевВ.Я., КазакА.С.</t>
  </si>
  <si>
    <t>978-5-16-011298-5</t>
  </si>
  <si>
    <t>13.03.01, 13.04.01, 13.06.01, 38.03.01, 38.04.01, 38.06.01</t>
  </si>
  <si>
    <t>669358.04.01</t>
  </si>
  <si>
    <t>Теория и практика абразивной разрезки труб: Моногр./Е.А.Левченко-М.:Вуз.уч.,НИЦ ИНФРА-М,2023-142с(О)</t>
  </si>
  <si>
    <t>ТЕОРИЯ И ПРАКТИКА АБРАЗИВНОЙ РАЗРЕЗКИ ТРУБ</t>
  </si>
  <si>
    <t>Левченко Е.А., Покинтелица Н.И., Харченко А.О.</t>
  </si>
  <si>
    <t>978-5-9558-0599-3</t>
  </si>
  <si>
    <t>15.03.01, 15.03.02, 22.03.01, 22.04.01</t>
  </si>
  <si>
    <t>740752.01.01</t>
  </si>
  <si>
    <t>Теория и практика внедрения  высокоэнергоэфф. технологий в строит.на основе.... Моногр / В.С.Казейкин.-Москва:ИНФРА-М,2021-301c(О)</t>
  </si>
  <si>
    <t>ТЕОРИЯ И ПРАКТИКА ВНЕДРЕНИЯ  ВЫСОКОЭНЕРГОЭФФЕКТИВНЫХ ТЕХНОЛОГИЙ В СТРОИТЕЛЬСТВЕ НА ОСНОВЕ ТЕПЛОГЕНЕРАТОРОВ ТЕРМАРОН</t>
  </si>
  <si>
    <t>Казейкин В.С., Толстолугов В.А., Толстолугова И.И. и др.</t>
  </si>
  <si>
    <t>978-5-16-016441-0</t>
  </si>
  <si>
    <t>678595.03.01</t>
  </si>
  <si>
    <t>Теория и практика комбинир.электротехнологий создания...: Моногр./ В.С.Чередниченко-М.:НИЦ ИНФРА-М,2023.-258с(П)</t>
  </si>
  <si>
    <t>ТЕОРИЯ И ПРАКТИКА КОМБИНИРОВАННЫХ ЭЛЕКТРОТЕХНОЛОГИЙ СОЗДАНИЯ ЗАЩИТНЫХ ПОКРЫТИЙ</t>
  </si>
  <si>
    <t>Чередниченко В.С., Радченко М.В., Радченко Т.Б. и др.</t>
  </si>
  <si>
    <t>978-5-16-013684-4</t>
  </si>
  <si>
    <t>740304.02.01</t>
  </si>
  <si>
    <t>Теория и практика персонифицированного обучения: Моногр. / С.В.Кондратьев-М.:НИЦ ИНФРА-М,2021.-273 с.(О)</t>
  </si>
  <si>
    <t>ТЕОРИЯ И ПРАКТИКА ПЕРСОНИФИЦИРОВАННОГО ОБУЧЕНИЯ</t>
  </si>
  <si>
    <t>Кондратьев С.В.</t>
  </si>
  <si>
    <t>978-5-16-016331-4</t>
  </si>
  <si>
    <t>632248.06.01</t>
  </si>
  <si>
    <t>Теория и практика развития проф..: Моногр. / С.Н.Козловская, - 2 изд.-М.:НИЦ ИНФРА-М,2023.-145с.(О)</t>
  </si>
  <si>
    <t>ТЕОРИЯ И ПРАКТИКА РАЗВИТИЯ ПРОФЕССИОНАЛЬНОГО САМООПРЕДЕЛЕНИЯ СТУДЕНТОВ, ИЗД.2</t>
  </si>
  <si>
    <t>Козловская С.Н.</t>
  </si>
  <si>
    <t>978-5-16-011977-9</t>
  </si>
  <si>
    <t>44.03.01, 44.04.01, 44.04.04, 44.06.01</t>
  </si>
  <si>
    <t>804951.01.01</t>
  </si>
  <si>
    <t>Теория и практика судебно-экономич. экспертизы: Моногр. / В.А.Тимченко-М.:НИЦ ИНФРА-М,2024.-209 с.(п)</t>
  </si>
  <si>
    <t>ТЕОРИЯ И ПРАКТИКА СУДЕБНО-ЭКОНОМИЧЕСКОЙ ЭКСПЕРТИЗЫ: ПРОБЛЕМЫ И ПЕРСПЕКТИВЫ</t>
  </si>
  <si>
    <t>Тимченко В.А.</t>
  </si>
  <si>
    <t>978-5-16-018699-3</t>
  </si>
  <si>
    <t>40.05.01, 40.06.01</t>
  </si>
  <si>
    <t>700977.04.01</t>
  </si>
  <si>
    <t>Теория и практика экспертных методов: Моногр. / Под ред. Кочурова Б.И. - М.:НИЦ ИНФРА-М,2025  - 281 с.(П)</t>
  </si>
  <si>
    <t>ТЕОРИЯ И ПРАКТИКА ЭКСПЕРТНЫХ МЕТОДОВ</t>
  </si>
  <si>
    <t>Коробов В.Б., Кочуров Б.И.</t>
  </si>
  <si>
    <t>978-5-16-015053-6</t>
  </si>
  <si>
    <t>Институт океанологии им. П.П. Ширшова Российской академии наук</t>
  </si>
  <si>
    <t>176150.07.01</t>
  </si>
  <si>
    <t>Теория личности (по материалам рукописи):Моногр./А.И.Стронин, 2 изд.-М.:НИЦ ИНФРА-М,2018.-188 с.(п)</t>
  </si>
  <si>
    <t>ТЕОРИЯ ЛИЧНОСТИ (ПО МАТЕРИАЛАМ РУКОПИСИ), ИЗД.2</t>
  </si>
  <si>
    <t>Стронин А. И., Оганян К. К.</t>
  </si>
  <si>
    <t>978-5-16-011790-4</t>
  </si>
  <si>
    <t>39.03.01, 39.04.01, 44.03.02, 44.04.02, 47.03.01, 47.04.01</t>
  </si>
  <si>
    <t>640190.06.01</t>
  </si>
  <si>
    <t>Теория организации и организ.деят.: моногр.тезаур.: Сл./ Л.А.Жигун- 2 изд.-М.:НИЦ ИНФРА-М,2023-240с.(п)</t>
  </si>
  <si>
    <t>ТЕОРИЯ ОРГАНИЗАЦИИ И ОРГАНИЗАЦИОННАЯ ДЕЯТЕЛЬНОСТЬ: МОНОГРАФИЯ ТЕЗАУРУСА, ИЗД.2</t>
  </si>
  <si>
    <t>Жигун Л.А.</t>
  </si>
  <si>
    <t>978-5-16-012625-8</t>
  </si>
  <si>
    <t>38.03.02, 38.03.04, 38.03.05, 38.03.06, 38.04.02, 38.04.03, 38.04.09, 38.05.01, 41.03.06</t>
  </si>
  <si>
    <t>177850.08.01</t>
  </si>
  <si>
    <t>Теория организации: Словарь / Л.А.Жигун-М.:НИЦ ИНФРА-М,2024.-116 с.(Б-ка малых сл."ИНФРА-М")(О)(О) [12+]</t>
  </si>
  <si>
    <t>ТЕОРИЯ ОРГАНИЗАЦИИ</t>
  </si>
  <si>
    <t>Жигун Л. А.</t>
  </si>
  <si>
    <t>978-5-16-005242-7</t>
  </si>
  <si>
    <t>35.02.12, 38.03.02, 38.04.02, 38.04.08, 41.03.06, 44.03.05</t>
  </si>
  <si>
    <t>847406.02.01</t>
  </si>
  <si>
    <t>Теория очередей и машинное обучение: Моногр. / В.М.Вишневский - М.:НИЦ ИНФРА-М,2025. - 370 с: цв.ил.(п)</t>
  </si>
  <si>
    <t>ТЕОРИЯ ОЧЕРЕДЕЙ И МАШИННОЕ ОБУЧЕНИЕ</t>
  </si>
  <si>
    <t>Вишневский В.М., Ефросинин Д.В.</t>
  </si>
  <si>
    <t>978-5-16-020572-4</t>
  </si>
  <si>
    <t>01.03.01, 01.04.02, 01.06.01, 02.06.01, 09.04.01, 09.04.03, 09.06.01</t>
  </si>
  <si>
    <t>Конкурс Ассоциации книгоиздателей России "Лучшие книги года - 2023"-2025, Лауреат
Учебник года-2025, Лауреат</t>
  </si>
  <si>
    <t>408450.08.01</t>
  </si>
  <si>
    <t>Теория процессного управления: Монография / Ю.В.Ляндау-М.:НИЦ ИНФРА-М,2024.-118 с.(Науч.мысль)(о)</t>
  </si>
  <si>
    <t>ТЕОРИЯ ПРОЦЕССНОГО УПРАВЛЕНИЯ</t>
  </si>
  <si>
    <t>Ляндау Ю.В., Стасевич Д.И.</t>
  </si>
  <si>
    <t>978-5-16-006400-0</t>
  </si>
  <si>
    <t>38.03.02, 38.03.05, 38.04.02, 38.04.05</t>
  </si>
  <si>
    <t>408200.07.01</t>
  </si>
  <si>
    <t>Теория развития экономич. интересов объектов..: Моногр. / А.Ю.Баранова - М.:НИЦ ИНФРА-М,2022 - 150 с.(О)</t>
  </si>
  <si>
    <t>ТЕОРИЯ РАЗВИТИЯ ЭКОНОМИЧЕСКИХ ИНТЕРЕСОВ ОБЪЕКТОВ ТУРИЗМОЛОГИИ</t>
  </si>
  <si>
    <t>Баранова А.Ю.</t>
  </si>
  <si>
    <t>978-5-16-005757-6</t>
  </si>
  <si>
    <t>735735.01.01</t>
  </si>
  <si>
    <t>Теория разума: Монография / С.В.Борзых - М.:НИЦ ИНФРА-М,2021 - 228 с.-(Науч.мысль)(О)</t>
  </si>
  <si>
    <t>ТЕОРИЯ РАЗУМА</t>
  </si>
  <si>
    <t>978-5-16-016232-4</t>
  </si>
  <si>
    <t>647889.04.01</t>
  </si>
  <si>
    <t>Теория ресурсных сетей: Моногр. / Л.Ю.Жилякова - М.:ИЦ РИОР, НИЦ ИНФРА-М,2025. - 283 с.-(Науч.мысль)(О)</t>
  </si>
  <si>
    <t>ТЕОРИЯ РЕСУРСНЫХ СЕТЕЙ</t>
  </si>
  <si>
    <t>Жилякова Л.Ю., Кузнецов О.П.</t>
  </si>
  <si>
    <t>978-5-369-01645-9</t>
  </si>
  <si>
    <t>01.03.04, 02.03.02, 09.03.03, 09.04.04, 10.04.01, 11.04.02, 27.03.05, 38.04.05</t>
  </si>
  <si>
    <t>Институт социально-экономических проблем народонаселения Российской академии наук</t>
  </si>
  <si>
    <t>678061.03.01</t>
  </si>
  <si>
    <t>Теория социализма: Моногр. / В.С.Соловьев - М.:НИЦ ИНФРА-М,2023 - 609 с.(П)</t>
  </si>
  <si>
    <t>ТЕОРИЯ СОЦИАЛИЗМА</t>
  </si>
  <si>
    <t>Соловьев В.С.</t>
  </si>
  <si>
    <t>978-5-16-014349-1</t>
  </si>
  <si>
    <t>38.04.01, 38.04.04, 38.06.01, 39.04.01, 41.04.04</t>
  </si>
  <si>
    <t>330500.05.01</t>
  </si>
  <si>
    <t>Теория социального управления в высшей школе: монография / Р.В.Леньков-М.:НИЦ ИНФРА-М,2018.-91 с..-(Науч.мысль)(о)</t>
  </si>
  <si>
    <t>ТЕОРИЯ СОЦИАЛЬНОГО УПРАВЛЕНИЯ В ВЫСШЕЙ ШКОЛЕ</t>
  </si>
  <si>
    <t>978-5-16-010609-0</t>
  </si>
  <si>
    <t>39.03.01, 39.04.01, 39.04.02, 39.04.03</t>
  </si>
  <si>
    <t>800292.01.01</t>
  </si>
  <si>
    <t>Теория социальных регуляторов: Моногр. / Под ред. Перфильевой М.Б.-М.:НИЦ ИНФРА-М,2024.-241 с.(п)</t>
  </si>
  <si>
    <t>ТЕОРИЯ СОЦИАЛЬНЫХ РЕГУЛЯТОРОВ</t>
  </si>
  <si>
    <t>Захаров Н.Л., Перфильева М.Б.</t>
  </si>
  <si>
    <t>978-5-16-019447-9</t>
  </si>
  <si>
    <t>822817.01.01</t>
  </si>
  <si>
    <t>Теория транспозиционной грамматики рус. яз. / В.В.Шигуров - М.:НИЦ ИНФРА-М,2025. - 1063 с.(п)</t>
  </si>
  <si>
    <t>ТЕОРИЯ ТРАНСПОЗИЦИОННОЙ ГРАММАТИКИ РУССКОГО ЯЗЫКА:</t>
  </si>
  <si>
    <t>Шигуров В.В.</t>
  </si>
  <si>
    <t>978-5-16-020847-3</t>
  </si>
  <si>
    <t>467750.08.01</t>
  </si>
  <si>
    <t>Теория эффективности экономики: Моногр./О.С.Сухарев - 2 изд. - М:КУРС: ИНФРА-М,2024-368с. (Наука) (о)</t>
  </si>
  <si>
    <t>ТЕОРИЯ ЭФФЕКТИВНОСТИ ЭКОНОМИКИ, ИЗД.2</t>
  </si>
  <si>
    <t>Сухарев О. С.</t>
  </si>
  <si>
    <t>978-5-905554-58-2</t>
  </si>
  <si>
    <t>759883.01.01</t>
  </si>
  <si>
    <t>Теория, методология и практика регионал. стратегич. планир.: Моногр. / О.И.Бабина-М.:НИЦ ИНФРА-М,2022.-122 с.(О)</t>
  </si>
  <si>
    <t>ТЕОРИЯ, МЕТОДОЛОГИЯ И ПРАКТИКА РЕГИОНАЛЬНОГО СТРАТЕГИЧЕСКОГО ПЛАНИРОВАНИЯ</t>
  </si>
  <si>
    <t>Бабина О.И.</t>
  </si>
  <si>
    <t>978-5-16-017101-2</t>
  </si>
  <si>
    <t>717574.03.01</t>
  </si>
  <si>
    <t>Теория, электронная структура и физикохимия...: Моногр. / Под ред. Сигова А.С.-М.:НИЦ ИНФРА-М,2022-370с.(О)</t>
  </si>
  <si>
    <t>ТЕОРИЯ, ЭЛЕКТРОННАЯ СТРУКТУРА И ФИЗИКОХИМИЯ МАТЕРИАЛОВ КАТОДОВ СВЧ ПРИБОРОВ</t>
  </si>
  <si>
    <t>Капустин В.И., Ли И.П., Сигов А.С.</t>
  </si>
  <si>
    <t>978-5-16-015560-9</t>
  </si>
  <si>
    <t>11.04.03, 12.04.01, 16.04.01</t>
  </si>
  <si>
    <t>744297.01.01</t>
  </si>
  <si>
    <t>Тепловизионная скрининг-диагностика. Болезни молочной железы. Атлас термограмм: атлас / И.М.Долгов и др.-М.:НИЦ ИНФРА-М,2020.-150 с.(П)</t>
  </si>
  <si>
    <t>ТЕПЛОВИЗИОННАЯ СКРИНИНГ-ДИАГНОСТИКА. БОЛЕЗНИ МОЛОЧНОЙ ЖЕЛЕЗЫ</t>
  </si>
  <si>
    <t>Долгов И.М., Воловик М.Г., Муравина Н.Л.</t>
  </si>
  <si>
    <t>978-5-16-016491-5</t>
  </si>
  <si>
    <t>Атлас</t>
  </si>
  <si>
    <t>31.05.01, 31.05.02, 31.08.01, 32.05.01</t>
  </si>
  <si>
    <t>Приволжский исследовательский медицинский университет</t>
  </si>
  <si>
    <t>744299.01.01</t>
  </si>
  <si>
    <t>Тепловизионная скрининг-диагностика. Болезни системы кровообращения. Варикозное расширение вен. Атлас термограмм -М.:НИЦ ИНФРА-М,2020.-91 с.(П)</t>
  </si>
  <si>
    <t>ТЕПЛОВИЗИОННАЯ СКРИНИНГ-ДИАГНОСТИКА. БОЛЕЗНИ СИСТЕМЫ КРОВООБРАЩЕНИЯ. ВАРИКОЗНОЕ РАСШИРЕНИЕ ВЕН НИЖНИХ КОНЕЧНОСТЕЙ. ФЛЕБИТ. ТРОМБОФЛЕБИТ</t>
  </si>
  <si>
    <t>Воловик М.Г., Долгов И.М., Муравина Н.Л.</t>
  </si>
  <si>
    <t>978-5-16-016492-2</t>
  </si>
  <si>
    <t>31.02.01, 31.05.01, 31.05.02, 31.06.01, 31.07.01, 31.08.01, 31.08.05, 32.04.01, 32.05.01</t>
  </si>
  <si>
    <t>744298.01.01</t>
  </si>
  <si>
    <t>Тепловизионная скрининг-диагностика. Болезни щитовидной железы. Атлас термограмм: атлас / И.М.Долгов-М.:НИЦ ИНФРА-М,2020.-51 с.(П)</t>
  </si>
  <si>
    <t>ТЕПЛОВИЗИОННАЯ СКРИНИНГ-ДИАГНОСТИКА. БОЛЕЗНИ ЩИТОВИДНОЙ ЖЕЛЕЗЫ</t>
  </si>
  <si>
    <t>Долгов И.М., Воловик М.Г.</t>
  </si>
  <si>
    <t>978-5-16-016490-8</t>
  </si>
  <si>
    <t>31.05.01, 31.05.02, 31.08.53, 32.04.01, 32.05.01</t>
  </si>
  <si>
    <t>429850.07.01</t>
  </si>
  <si>
    <t>Терминологический словарь-справочник по палеонтологии / Б.Т.Янин - 2изд.-М.:НИЦ ИНФРА-М,2023-172с(п)</t>
  </si>
  <si>
    <t>ТЕРМИНОЛОГИЧЕСКИЙ СЛОВАРЬ-СПРАВОЧНИК ПО ПАЛЕОНТОЛОГИИ (ПАЛЕОИХНОЛОГИЯ, ПАЛЕОЭКОЛОГИЯ, ТАФОНОМИЯ), ИЗД.2</t>
  </si>
  <si>
    <t>Янин Б.Т.</t>
  </si>
  <si>
    <t>978-5-16-006644-8</t>
  </si>
  <si>
    <t>05.03.01, 05.03.06, 05.04.01, 05.04.06, 06.03.01, 06.04.01</t>
  </si>
  <si>
    <t>637262.04.01</t>
  </si>
  <si>
    <t>Терминология Investor Relations в рус. и англ.яз.: Моногр. / Т.А.Сарангова - М.:НИЦ ИНФРА-М,2025 - 126 с.(О)</t>
  </si>
  <si>
    <t>ТЕРМИНОЛОГИЯ INVESTOR RELATIONS В РУССКОМ И АНГЛИЙСКОМ ЯЗЫКАХ</t>
  </si>
  <si>
    <t>Сарангова Т.А.</t>
  </si>
  <si>
    <t>978-5-16-012202-1</t>
  </si>
  <si>
    <t>38.04.01, 38.04.02, 45.03.02, 45.04.02, 45.05.01</t>
  </si>
  <si>
    <t>183150.04.01</t>
  </si>
  <si>
    <t>Терминообразование в языке науки: Моногр. / Ж.Багана-М.:НИЦ ИНФРА-М,2020-144с-(Научная мысль)(О)</t>
  </si>
  <si>
    <t>ТЕРМИНООБРАЗОВАНИЕ В ЯЗЫКЕ НАУКИ</t>
  </si>
  <si>
    <t>Багана Ж., Таранова Е.Н.</t>
  </si>
  <si>
    <t>978-5-16-009762-6</t>
  </si>
  <si>
    <t>45.03.01, 45.04.01, 45.04.02</t>
  </si>
  <si>
    <t>334700.03.01</t>
  </si>
  <si>
    <t>Термодинамика комплексообраз.лигандов...: Моногр. / Е.Г.Березняк-М.:Вуз.уч.,НИЦ ИНФРА-М,2019-166с(о)</t>
  </si>
  <si>
    <t>ТЕРМОДИНАМИКА КОМПЛЕКСООБРАЗОВАНИЯ ЛИГАНДОВ С НУКЛЕИНОВЫМИ КИСЛОТАМИ В ВОДНОМ РАСТВОРЕ</t>
  </si>
  <si>
    <t>Березняк Е.Г., Духопельников Е.В., Гладковская Н.А. и др.</t>
  </si>
  <si>
    <t>978-5-9558-0417-0</t>
  </si>
  <si>
    <t>03.03.03, 03.04.03, 14.03.01, 14.04.01</t>
  </si>
  <si>
    <t>Харьковский национальный университет радиоэлектроники</t>
  </si>
  <si>
    <t>670744.05.01</t>
  </si>
  <si>
    <t>Термоокислительная стабильность трансмиссионных масел / Б.И.Ковальский. - М.:НИЦ ИНФРА-М, СФУ,2026. - 150 с.(о)</t>
  </si>
  <si>
    <t>ТЕРМООКИСЛИТЕЛЬНАЯ СТАБИЛЬНОСТЬ ТРАНСМИССИОННЫХ МАСЕЛ</t>
  </si>
  <si>
    <t>Ковальский Б.И., Безбородов Ю.Н., Фельдман Л.А. и др.</t>
  </si>
  <si>
    <t>978-5-16-021373-6</t>
  </si>
  <si>
    <t>23.04.02, 23.04.03, 23.05.01, 23.06.01</t>
  </si>
  <si>
    <t>753311.01.01</t>
  </si>
  <si>
    <t>Территориальная орг. местного самоуправ. в РФ: тенденции...: Моногр./ Дементьев И.В.- М.:Юр.Норма,2021.-352 с.(П)</t>
  </si>
  <si>
    <t>ТЕРРИТОРИАЛЬНАЯ ОРГАНИЗАЦИЯ МЕСТНОГО САМОУПРАВЛЕНИЯ В РФ: ТЕНДЕНЦИИ, КРИТЕРИИ, ПЕРСПЕКТИВЫ</t>
  </si>
  <si>
    <t>Дементьев А.Н., Дементьева О.А., Бондарь В.Н.</t>
  </si>
  <si>
    <t>978-5-00156-156-9</t>
  </si>
  <si>
    <t>38.04.04, 38.06.01, 40.03.01, 40.04.01, 40.06.01</t>
  </si>
  <si>
    <t>669454.04.01</t>
  </si>
  <si>
    <t>Территориальная организ.мест.самоуправ. РФ: Моногр./ Л.А.Шарнина-М.:НИЦ ИНФРА-М, СФУ,2022.-168с.(О)</t>
  </si>
  <si>
    <t>ТЕРРИТОРИАЛЬНАЯ ОРГАНИЗАЦИЯ МЕСТНОГО САМОУПРАВЛЕНИЯ РОССИЙСКОЙ ФЕДЕРАЦИИ</t>
  </si>
  <si>
    <t>Шарнина Л.А.</t>
  </si>
  <si>
    <t>978-5-16-017273-6</t>
  </si>
  <si>
    <t>654635.06.01</t>
  </si>
  <si>
    <t>Территориальная организация публич.власти: Моногр. / В.Е.Чиркин - М.:Юр.Норма, НИЦ ИНФРА-М,2026 - 208 с.(П)</t>
  </si>
  <si>
    <t>ТЕРРИТОРИАЛЬНАЯ ОРГАНИЗАЦИЯ ПУБЛИЧНОЙ ВЛАСТИ</t>
  </si>
  <si>
    <t>978-5-91768-827-5</t>
  </si>
  <si>
    <t>843643.01.01</t>
  </si>
  <si>
    <t>Территориально-структур. особ. наркоситуации в регионах... / Р.Р.Абсатаров - М.:НИЦ ИНФРА-М, 2025  - 218 с.(о)</t>
  </si>
  <si>
    <t>ТЕРРИТОРИАЛЬНО-СТРУКТУРНЫЕ ОСОБЕННОСТИ НАРКОСИТУАЦИИ В РЕГИОНАХ СЕВЕРО-ЗАПАДНОГО ФЕДЕРАЛЬНОГО ОКРУГА РОССИИ</t>
  </si>
  <si>
    <t>Абсатаров Р.Р.</t>
  </si>
  <si>
    <t>978-5-16-020451-2</t>
  </si>
  <si>
    <t>686276.02.01</t>
  </si>
  <si>
    <t>Территориальные автономии в зарубеж. унитарных и регион... / И.В.Ирхин - М.:ИНФРА-М,2022 - 465 с.(П)</t>
  </si>
  <si>
    <t>ТЕРРИТОРИАЛЬНЫЕ АВТОНОМИИ В ЗАРУБЕЖНЫХ УНИТАРНЫХ И РЕГИОНАЛИСТСКИХ ГОСУДАРСТВАХ ЕВРОПЫ И АЗИИ (КОНСТИТУЦИОННО-ПРАВОВОЕ ИССЛЕДОВАНИЕ)</t>
  </si>
  <si>
    <t>Ирхин И.В.</t>
  </si>
  <si>
    <t>978-5-16-014270-8</t>
  </si>
  <si>
    <t>38.03.04, 40.03.01, 40.04.01, 41.03.01, 44.03.05</t>
  </si>
  <si>
    <t>181150.05.01</t>
  </si>
  <si>
    <t>Территориальный фактор предмет..: Моногр. / Г.С.Кириенко - М.:НИЦ ИНФРА-М,2023-199с.(Науч. мысль)(о)</t>
  </si>
  <si>
    <t>ТЕРРИТОРИАЛЬНЫЙ ФАКТОР ПРЕДМЕТОВЕДЧЕСКОЙ ДИФФЕРЕНЦИАЦИИ: КОНСТИТУЦИОННО-ПРАВОВЫЕ ВОЗМОЖНОСТИ И ОПЫТ ИХ РЕАЛИЗАЦИИ СУБЪЕКТАМИ РОССИЙСКОЙ ФЕДЕРАЦИИ</t>
  </si>
  <si>
    <t>Кириенко Г. С., Нифанов А. Н.</t>
  </si>
  <si>
    <t>978-5-16-005605-0</t>
  </si>
  <si>
    <t>699758.04.01</t>
  </si>
  <si>
    <t>Территории с особым статусом в сос. федеративных гос.: Моногр. / И.В.Ирхин-М.:НИЦ ИНФРА-М,2024.-217с(о)</t>
  </si>
  <si>
    <t>ТЕРРИТОРИИ С ОСОБЫМ СТАТУСОМ В СОСТАВЕ ФЕДЕРАТИВНЫХ ГОСУДАРСТВ (КОНСТИТУЦИОННО-ПРАВОВОЕ ИССЛЕДОВАНИЕ)</t>
  </si>
  <si>
    <t>978-5-16-019842-2</t>
  </si>
  <si>
    <t>182500.13.01</t>
  </si>
  <si>
    <t>Терроризм: История и современность. Социально-психологич. исслед. / К.Г.Горбунов -М.:Форум,2024-400с (п)</t>
  </si>
  <si>
    <t>ТЕРРОРИЗМ: ИСТОРИЯ И СОВРЕМЕННОСТЬ. СОЦИАЛЬНО-ПСИХОЛОГИЧЕСКОЕ ИССЛЕДОВАНИЕ</t>
  </si>
  <si>
    <t>Горбунов К. Г.</t>
  </si>
  <si>
    <t>978-5-91134-582-2</t>
  </si>
  <si>
    <t>37.03.01, 37.04.01, 39.03.01, 39.04.01, 40.03.01, 40.04.01, 40.05.01</t>
  </si>
  <si>
    <t>777636.01.01</t>
  </si>
  <si>
    <t>Техника и технология гранулир. многокомп. полидисперсных материалов..: Моногр. / Д.А. Макаренков-М: ИНФРА-М.2023-297с.(О)</t>
  </si>
  <si>
    <t>ТЕХНИКА И ТЕХНОЛОГИЯ ГРАНУЛИРОВАНИЯ МНОГОКОМПОНЕНТНЫХ  ПОЛИДИСПЕРСНЫХ МАТЕРИАЛОВ С ИСПОЛЬЗОВАНИЕМ СОВМЕЩЁННЫХ ПРОЦЕССОВ ИХ ПОДГОТОВКИ</t>
  </si>
  <si>
    <t>Макаренков Д.А., Назаров В.И.</t>
  </si>
  <si>
    <t>978-5-16-017767-0</t>
  </si>
  <si>
    <t>18.04.01, 18.04.02, 22.04.01</t>
  </si>
  <si>
    <t>719487.05.01</t>
  </si>
  <si>
    <t>Техническая эксп. электроприводов судов: Моногр. / А.Ф.Бурков - 2 изд. - М.:НИЦ ИНФРА-М,2026 - 358 с.(О)</t>
  </si>
  <si>
    <t>ТЕХНИЧЕСКАЯ ЭКСПЛУАТАЦИЯ ЭЛЕКТРОПРИВОДОВ СУДОВ, ИЗД.2</t>
  </si>
  <si>
    <t>Бурков А.Ф.</t>
  </si>
  <si>
    <t>978-5-16-015722-1</t>
  </si>
  <si>
    <t>26.05.02, 26.05.06, 26.05.07, 26.06.01</t>
  </si>
  <si>
    <t>805935.01.01</t>
  </si>
  <si>
    <t>Технологии и техника для созд.эколог.чистых..: Моногр./ Б.С.Ксенофонтов-М.:НИЦ ИНФРА-М,2024.-239 с.(п)</t>
  </si>
  <si>
    <t>ТЕХНОЛОГИИ И ТЕХНИКА ДЛЯ СОЗДАНИЯ ЭКОЛОГИЧЕСКИ ЧИСТЫХ И БЕЗОТХОДНЫХ БИОТЕХНОЛОГИЧЕСКИХ ПРОИЗВОДСТВ</t>
  </si>
  <si>
    <t>978-5-16-018700-6</t>
  </si>
  <si>
    <t>05.04.06, 12.04.04, 19.04.01</t>
  </si>
  <si>
    <t>293500.04.01</t>
  </si>
  <si>
    <t>Технологии интенсивного формир. экон. самост..: Моногр. / С.Д.Резник - М.:НИЦ ИНФРА-М,2024-224 с.(о)</t>
  </si>
  <si>
    <t>ТЕХНОЛОГИИ ИНТЕНСИВНОГО ФОРМИРОВАНИЯ ЭКОНОМИЧЕСКОЙ САМОСТОЯТЕЛЬНОСТИ И ПРЕДПРИНИМАТЕЛЬСКИХ КОМПЕТЕН</t>
  </si>
  <si>
    <t>Резник С.Д., Черницов А.Е.</t>
  </si>
  <si>
    <t>978-5-16-010061-6</t>
  </si>
  <si>
    <t>803567.01.01</t>
  </si>
  <si>
    <t>Технологии кредитования мал. и сред. бизнеса в усл. цифр. экон.: Моногр. / Н.И.Морозко-М.:НИЦ ИНФРА-М,2023-328с.(о)</t>
  </si>
  <si>
    <t>ТЕХНОЛОГИИ КРЕДИТОВАНИЯ МАЛОГО  И СРЕДНЕГО БИЗНЕСА В УСЛОВИЯХ ЦИФРОВИЗАЦИИ ЭКОНОМИКИ</t>
  </si>
  <si>
    <t>Морозко Н.И., Морозко Н.И.</t>
  </si>
  <si>
    <t>978-5-16-018567-5</t>
  </si>
  <si>
    <t>38.03.01, 38.03.02, 38.04.08</t>
  </si>
  <si>
    <t>157750.08.01</t>
  </si>
  <si>
    <t>Технологии мобильной связи: услуги и сервисы / А.Г.Бельтов - М:ИНФРА-М,2024-206с(Просто,кратко,быстро)</t>
  </si>
  <si>
    <t>ТЕХНОЛОГИИ МОБИЛЬНОЙ СВЯЗИ: УСЛУГИ И СЕРВИСЫ</t>
  </si>
  <si>
    <t>Бельтов А. Г., Жуков И. Ю., Михайлов Д. М., Стариковский А. В.</t>
  </si>
  <si>
    <t>978-5-16-004889-5</t>
  </si>
  <si>
    <t>10.03.01, 10.04.01, 11.03.02, 11.04.02</t>
  </si>
  <si>
    <t>814314.01.01</t>
  </si>
  <si>
    <t>Технологии ресурсосбер. восстановления и ремонта деталей... / С.В.Карцев-М.:НИЦ ИНФРА-М,2025.-357 с.(п)</t>
  </si>
  <si>
    <t>ТЕХНОЛОГИИ РЕСУРСОСБЕРЕГАЮЩЕГО ВОССТАНОВЛЕНИЯ И РЕМОНТА ДЕТАЛЕЙ ПРОМЫШЛЕННОГО ОБОРУДОВАНИЯ</t>
  </si>
  <si>
    <t>Карцев С.В., Кравченко И.Н.</t>
  </si>
  <si>
    <t>978-5-16-019232-1</t>
  </si>
  <si>
    <t>15.04.02, 15.05.01</t>
  </si>
  <si>
    <t>Институт машиноведения им. А.А. Благонравова Российской академии наук</t>
  </si>
  <si>
    <t>401850.07.01</t>
  </si>
  <si>
    <t>Технологии синтеза моно-, биметал...: Моногр. /Т.Б.Татаринцева-2изд-М:НИЦ Инфра-М,2024-86с(Науч.мыс.)</t>
  </si>
  <si>
    <t>ТЕХНОЛОГИИ СИНТЕЗА МОНО-, БИМЕТАЛЛЬНЫХ И МЕТАЛЛОКОМПЛЕКСНЫХ ГЕКСАЦИАНОФЕРРАТОВ, ИЗД.2</t>
  </si>
  <si>
    <t>Татаринцева Т.Б.</t>
  </si>
  <si>
    <t>978-5-16-006152-8</t>
  </si>
  <si>
    <t>04.03.01, 04.03.02</t>
  </si>
  <si>
    <t>158645.13.01</t>
  </si>
  <si>
    <t>Технологии цвет.революций: Моногр. / А.Э.Гапич - 2 изд. - М.:ИЦ РИОР, НИЦ ИНФРА-М,2026 - 126 с.(О)</t>
  </si>
  <si>
    <t>ТЕХНОЛОГИИ ЦВЕТНЫХ РЕВОЛЮЦИЙ, ИЗД.2</t>
  </si>
  <si>
    <t>Гапич А. Э., Лушников Д. А.</t>
  </si>
  <si>
    <t>978-5-369-01354-0</t>
  </si>
  <si>
    <t>39.03.01, 39.03.03, 39.04.01, 39.04.03, 40.03.01, 41.03.04, 41.03.06, 41.04.04, 44.03.01, 44.03.05</t>
  </si>
  <si>
    <t>814636.01.01</t>
  </si>
  <si>
    <t>Технологическая трансформация малых и сред. произв...: Моногр. / Е.А.Панова - М.:НИЦ ИНФРА-М,2024.-187с(о)</t>
  </si>
  <si>
    <t>ТЕХНОЛОГИЧЕСКАЯ ТРАНСФОРМАЦИЯ МАЛЫХ И СРЕДНИХ ПРОИЗВОДСТВЕННЫХ ПРЕДПРИЯТИЙ В УСЛОВИЯХ САНКЦИЙ</t>
  </si>
  <si>
    <t>Панова Е.А.</t>
  </si>
  <si>
    <t>978-5-16-019679-4</t>
  </si>
  <si>
    <t>687652.04.01</t>
  </si>
  <si>
    <t>Технологические дорожные карты: общее руководство..: Моногр./ Л.Ю.Матич-М.:НИЦ ИНФРА-М,2022.-151 с.(Научная мысль)(О)</t>
  </si>
  <si>
    <t>ТЕХНОЛОГИЧЕСКИЕ ДОРОЖНЫЕ КАРТЫ: ОБЩЕЕ РУКОВОДСТВО ПО ВНЕДРЕНИЮ И ИСПОЛЬЗОВАНИЮ ИНСТРУМЕНТА</t>
  </si>
  <si>
    <t>Матич Л.Ю.</t>
  </si>
  <si>
    <t>978-5-16-014268-5</t>
  </si>
  <si>
    <t>27.03.05, 27.04.05, 38.03.01</t>
  </si>
  <si>
    <t>824466.01.01</t>
  </si>
  <si>
    <t>Технологические. основы обраб. осадков сточн. вод с... / Б.С.Ксенофонтов-М.:НИЦ ИНФРА-М,2024.-362 с(п)</t>
  </si>
  <si>
    <t>ТЕХНОЛОГИЧЕСКИЕ ОСНОВЫ ОБРАБОТКИ ОСАДКОВ СТОЧНЫХ ВОД С ИСПОЛЬЗОВАНИЕМ КОМБИНИРОВАННОЙ ТЕХНИКИ И ТЕХНОЛОГИЙ</t>
  </si>
  <si>
    <t>978-5-16-019793-7</t>
  </si>
  <si>
    <t>08.03.01, 20.03.01, 20.03.02, 20.04.01, 20.06.01</t>
  </si>
  <si>
    <t>862023.01.01</t>
  </si>
  <si>
    <t>Технология высокоуровневого синтеза...: Моногр. / О.В.Непомнящий - М.:НИЦ ИНФРА-М, СФУ,2026. - 194 с.(п)</t>
  </si>
  <si>
    <t>ТЕХНОЛОГИЯ ВЫСОКОУРОВНЕВОГО СИНТЕЗА СВЕРХБОЛЬШИХ ИНТЕГРАЛЬНЫХ СХЕМ</t>
  </si>
  <si>
    <t>Непомнящий О.В.</t>
  </si>
  <si>
    <t>978-5-16-021347-7</t>
  </si>
  <si>
    <t>09.03.01, 09.04.01, 09.04.02, 09.06.01</t>
  </si>
  <si>
    <t>766867.01.01</t>
  </si>
  <si>
    <t>Технология и свойства фибробетона с наномодифицир. матрицей / С.Н.Леонович-М.:НИЦ ИНФРА-М,2024.-194 с.(о)</t>
  </si>
  <si>
    <t>ТЕХНОЛОГИЯ И СВОЙСТВА ФИБРОБЕТОНА С НАНОМОДИФИЦИРОВАННОЙ МАТРИЦЕЙ</t>
  </si>
  <si>
    <t>Леонович С.Н., Садовская Е.А.</t>
  </si>
  <si>
    <t>978-5-16-019071-6</t>
  </si>
  <si>
    <t>689961.01.01</t>
  </si>
  <si>
    <t>Технология и техника бурения: Уч.пос.: В 2 ч. (комп.) / В.С.Войтенко -М.:НИЦ ИНФРА-М,2019-850с(П)</t>
  </si>
  <si>
    <t>ТЕХНОЛОГИЯ И ТЕХНИКА БУРЕНИЯ</t>
  </si>
  <si>
    <t>Войтенко В.С., Смычкин А.Д., Тухто А.А. и др.</t>
  </si>
  <si>
    <t>Комплект</t>
  </si>
  <si>
    <t>647914.04.01</t>
  </si>
  <si>
    <t>Технология обработки зубчатых колес: Моногр. / В.В.Клепиков - М.:НИЦ ИНФРА-М,2024 - 409 с.(П)</t>
  </si>
  <si>
    <t>ТЕХНОЛОГИЯ ОБРАБОТКИ ЗУБЧАТЫХ КОЛЕС</t>
  </si>
  <si>
    <t>Клепиков В.В.</t>
  </si>
  <si>
    <t>978-5-16-012469-8</t>
  </si>
  <si>
    <t>12.03.05, 15.03.01, 15.03.05</t>
  </si>
  <si>
    <t>731128.05.01</t>
  </si>
  <si>
    <t>Технология педагогического целеполагания: Моногр. / Я.С.Турбовской - М.:НИЦ ИНФРА-М,2026 - 174 с.(О)</t>
  </si>
  <si>
    <t>ТЕХНОЛОГИЯ ПЕДАГОГИЧЕСКОГО ЦЕЛЕПОЛАГАНИЯ</t>
  </si>
  <si>
    <t>Турбовской Я.С., Филинова В.С.</t>
  </si>
  <si>
    <t>978-5-16-016018-4</t>
  </si>
  <si>
    <t>44.04.01, 44.04.04</t>
  </si>
  <si>
    <t>671497.02.01</t>
  </si>
  <si>
    <t>Технология подготовки грунтов к разраб.в зимний..: Моногр./С.И.Васильев-М.:НИЦ ИНФРА-М,СФУ,2019-152с</t>
  </si>
  <si>
    <t>ТЕХНОЛОГИЯ ПОДГОТОВКИ ГРУНТОВ К РАЗРАБОТКЕ В ЗИМНИЙ ПЕРИОД ПРИ ОСВОЕНИИ ПОЛЕЗНЫХ ИСКОПАЕМЫХ ВОСТОЧНО-СИБИРСКОГО РЕГИОНА</t>
  </si>
  <si>
    <t>Васильев С.И., Анферов В.Н., Мелкозеров В.М.</t>
  </si>
  <si>
    <t>978-5-16-013436-9</t>
  </si>
  <si>
    <t>766457.01.01</t>
  </si>
  <si>
    <t>Технология разработки месторождений известняка...: Моногр. / А.И.Косолапов-М.:НИЦ ИНФРА-М, СФУ,2022-127с.(О)</t>
  </si>
  <si>
    <t>ТЕХНОЛОГИЯ РАЗРАБОТКИ МЕСТОРОЖДЕНИЙ ИЗВЕСТНЯКА ПРИ КОМПЛЕКСНОМ ОСВОЕНИИ ТЕХНОГЕННЫХ ГЕОРЕСУРСОВ НЕДР</t>
  </si>
  <si>
    <t>Косолапов А.И., Пташник Ю.П.</t>
  </si>
  <si>
    <t>978-5-16-017268-2</t>
  </si>
  <si>
    <t>21.06.01</t>
  </si>
  <si>
    <t>776443.01.01</t>
  </si>
  <si>
    <t>Технология реконструкции зданий и сооружений: Моногр. / С.Н.Леонович-М.:НИЦ ИНФРА-М,2023.-521 с.(П)</t>
  </si>
  <si>
    <t>ТЕХНОЛОГИЯ РЕКОНСТРУКЦИИ ЗДАНИЙ И СООРУЖЕНИЙ</t>
  </si>
  <si>
    <t>Леонович С.Н., Черноиван В.Н., Черноиван Н.В.</t>
  </si>
  <si>
    <t>978-5-16-017689-5</t>
  </si>
  <si>
    <t>269900.06.01</t>
  </si>
  <si>
    <t>Технопарки в инфрастр.инновац.развития: Моногр. / Л.К.Терещенко-М.:НИЦ ИНФРА-М,ИЗиСП,2022-246(ИЗиСП)(о)</t>
  </si>
  <si>
    <t>ТЕХНОПАРКИ В ИНФРАСТРУКТУРЕ ИННОВАЦИОННОГО РАЗВИТИЯ</t>
  </si>
  <si>
    <t>Терещенко Л.К., Лафитский В.И., Терещенко Л.К. и др.</t>
  </si>
  <si>
    <t>978-5-16-010790-5</t>
  </si>
  <si>
    <t>425750.10.01</t>
  </si>
  <si>
    <t>Типические характеры в произведениях А.С. Пушкина: Моногр. / С.Ю.Поройков - М.:НИЦ ИНФРА-М,2025 - 184 с.(о)</t>
  </si>
  <si>
    <t>ТИПИЧЕСКИЕ ХАРАКТЕРЫ В ПРОИЗВЕДЕНИЯХ А.С. ПУШКИНА</t>
  </si>
  <si>
    <t>978-5-16-006596-0</t>
  </si>
  <si>
    <t>442350.06.01</t>
  </si>
  <si>
    <t>Толкование гражданско-правового договора: Моногр./Н.В.Степанюк-М:НИЦ ИНФРА-М,2022-136с-(Науч.мысль)</t>
  </si>
  <si>
    <t>ТОЛКОВАНИЕ ГРАЖДАНСКО-ПРАВОВОГО ДОГОВОРА: ПРОБЛЕМЫ ТЕОРИИ И ПРАКТИКИ</t>
  </si>
  <si>
    <t>Степанюк Н.В.</t>
  </si>
  <si>
    <t>978-5-16-006827-5</t>
  </si>
  <si>
    <t>672622.06.01</t>
  </si>
  <si>
    <t>Топливно-энергет. комп.: особ. развития и упр. в..: Моногр./ Е.В.Видищева.-М.:НИЦ ИНФРА-М,2024-111с.(Науч. мысль)(о)</t>
  </si>
  <si>
    <t>ТОПЛИВНО-ЭНЕРГЕТИЧЕСКИЙ КОМПЛЕКС:ОСОБЕННОСТИ РАЗВИТИЯ И УПРАВЛЕНИЯ В СОВРЕМЕННЫХ УСЛОВИЯХ</t>
  </si>
  <si>
    <t>Видищева Е.В., Бугаенко О.А., Селиверстова М.А.</t>
  </si>
  <si>
    <t>978-5-16-013939-5</t>
  </si>
  <si>
    <t>13.04.01, 38.03.01</t>
  </si>
  <si>
    <t>809211.02.01</t>
  </si>
  <si>
    <t>Топливно-энергетич. компл. Китая и глобал. энергетич. пробл. / С.И.Долгов - М.:НИЦ ИНФРА-М,2025.-421 с(п)</t>
  </si>
  <si>
    <t>ТОПЛИВНО-ЭНЕРГЕТИЧЕСКИЙ КОМПЛЕКС КИТАЯ И ГЛОБАЛЬНАЯ ЭНЕРГЕТИЧЕСКАЯ ПРОБЛЕМА</t>
  </si>
  <si>
    <t>Захаров А.Н., Долгов С.И., Аникина Е.М. и др.</t>
  </si>
  <si>
    <t>978-5-16-019308-3</t>
  </si>
  <si>
    <t>38.03.01, 38.04.01, 38.05.01, 38.06.01, 41.04.01, 41.04.05, 41.06.01</t>
  </si>
  <si>
    <t>799531.01.01</t>
  </si>
  <si>
    <t>Топливно-энергетический комплекс Предуралья: Оренбургская обл.: Моногр. / В.М.Александров-М.:ИНФРА-М,2024.-289с.(о)</t>
  </si>
  <si>
    <t>ТОПЛИВНО-ЭНЕРГЕТИЧЕСКИЙ КОМПЛЕКС ПРЕДУРАЛЬЯ: ОРЕНБУРГСКАЯ ОБЛАСТЬ</t>
  </si>
  <si>
    <t>Александров В.М., Солодовников А.Ю.</t>
  </si>
  <si>
    <t>978-5-16-018323-7</t>
  </si>
  <si>
    <t>21.05.06, 21.06.02, 38.04.01, 38.06.01</t>
  </si>
  <si>
    <t>766995.01.01</t>
  </si>
  <si>
    <t>Точечные дефекты в оксидах и эмиссионные свойства: Моногр. / В.И.Капустин - М.:НИЦ ИНФРА-М,2022-248 с.(О)</t>
  </si>
  <si>
    <t>ТОЧЕЧНЫЕ ДЕФЕКТЫ В ОКСИДАХ И ЭМИССИОННЫЕ СВОЙСТВА</t>
  </si>
  <si>
    <t>Капустин В.И., Сигов А.С., Ли И.П. и др.</t>
  </si>
  <si>
    <t>978-5-16-017376-4</t>
  </si>
  <si>
    <t>11.02.17, 11.03.03, 11.04.03, 12.04.01, 16.04.01</t>
  </si>
  <si>
    <t>477150.06.01</t>
  </si>
  <si>
    <t>Традиционная и метаболомическая селекция овец: Моногр./ В.И. Глазко - М.: КУРС: ИНФРА-М,2023 -560 с.(П)</t>
  </si>
  <si>
    <t>ТРАДИЦИОННАЯ И МЕТАБОЛОМИЧЕСКАЯ СЕЛЕКЦИЯ ОВЕЦ</t>
  </si>
  <si>
    <t>Глазко В.И., Юлдашбаев Ю.А., Кушнир А.В. и др.</t>
  </si>
  <si>
    <t>978-5-905554-74-2</t>
  </si>
  <si>
    <t>36.03.02, 36.04.02</t>
  </si>
  <si>
    <t>794951.01.01</t>
  </si>
  <si>
    <t>Традиция авторской маски в рус. прозе XVIII-XIX вв: Моногр. / О.Ю.Осьмухина-М.:НИЦ ИНФРА-М,2023-379с.(П)</t>
  </si>
  <si>
    <t>ТРАДИЦИЯ АВТОРСКОЙ МАСКИ В РУССКОЙ ПРОЗЕ XVIII-XIX ВЕКОВ</t>
  </si>
  <si>
    <t>Осьмухина О.Ю.</t>
  </si>
  <si>
    <t>978-5-16-018100-4</t>
  </si>
  <si>
    <t>44.04.01, 44.06.01, 44.07.01, 45.04.01, 45.06.01, 45.07.01, 52.05.04, 52.09.08</t>
  </si>
  <si>
    <t>728596.02.01</t>
  </si>
  <si>
    <t>Транзакционный менеджмент: Моногр. / О.Г.Тихомирова - М.:НИЦ ИНФРА-М,2025 - 178 с.(Науч.мысль)(О)</t>
  </si>
  <si>
    <t>ТРАНЗАКЦИОННЫЙ МЕНЕДЖМЕНТ: ГЕЙМИФИКАЦИЯ УПРАВЛЕНИЯ КОМПАНИЯМИ И ЛЮДЬМИ</t>
  </si>
  <si>
    <t>Тихомирова О.Г.</t>
  </si>
  <si>
    <t>978-5-16-015977-5</t>
  </si>
  <si>
    <t>710996.01.01</t>
  </si>
  <si>
    <t>Трансакционный сектор региона и его влияние на экономику субъектов РФ / Е.Н.Фрейман-М.:НИЦ ИНФРА-М,2020.-240с(О)</t>
  </si>
  <si>
    <t>ТРАНСАКЦИОННЫЙ СЕКТОР РЕГИОНА И ЕГО ВЛИЯНИЕ НА ЭКОНОМИКУ СУБЪЕКТОВ РФ: СТРУКТУРНО-ФУНКЦИОНАЛЬНЫЙ ПОДХОД</t>
  </si>
  <si>
    <t>Фрейман Е.Н., Третьякова Е.А.</t>
  </si>
  <si>
    <t>978-5-16-015361-2</t>
  </si>
  <si>
    <t>786045.01.01</t>
  </si>
  <si>
    <t>Трансграничные операции: развитие инструментов налог. админ.: Моногр. / А.В.Тихонова-М.:НИЦ ИНФРА-М,2023.-261 с.(п)</t>
  </si>
  <si>
    <t>ТРАНСГРАНИЧНЫЕ ОПЕРАЦИИ: РАЗВИТИЕ ИНСТРУМЕНТОВ НАЛОГОВОГО АДМИНИСТРИРОВАНИЯ</t>
  </si>
  <si>
    <t>Адвокатова А.С., Борисов О.И., Гончаренко Л.И. и др.</t>
  </si>
  <si>
    <t>978-5-16-018200-1</t>
  </si>
  <si>
    <t>658858.03.01</t>
  </si>
  <si>
    <t>Транспортные  профсоюзы как составная часть международ.../ С.А.Зубков-М.:НИЦ ИНФРА-М,2023.-297с(П)</t>
  </si>
  <si>
    <t>ТРАНСПОРТНЫЕ  ПРОФСОЮЗЫ КАК СОСТАВНАЯ ЧАСТЬ МЕЖДУНАРОДНОГО ПРОФСОЮЗНОГО ДВИЖЕНИЯ</t>
  </si>
  <si>
    <t>Зубков С.А., Крайнов Г.Н.</t>
  </si>
  <si>
    <t>978-5-16-011990-8</t>
  </si>
  <si>
    <t>843099.01.01</t>
  </si>
  <si>
    <t>Транспортные экспертизы в уголов. судопроизвод. России: Моногр. / Н.Н.Ильин - М.:НИЦ ИНФРА-М,2025. - 379 с.(о)</t>
  </si>
  <si>
    <t>ТРАНСПОРТНЫЕ ЭКСПЕРТИЗЫ В УГОЛОВНОМ СУДОПРОИЗВОДСТВЕ РОССИИ</t>
  </si>
  <si>
    <t>Ильин Н.Н.</t>
  </si>
  <si>
    <t>978-5-16-020394-2</t>
  </si>
  <si>
    <t>23.04.02, 23.05.01, 23.06.01, 40.04.01, 40.05.02, 40.05.03, 40.05.04, 40.06.01</t>
  </si>
  <si>
    <t>477350.06.01</t>
  </si>
  <si>
    <t>Трансформация бизнеса в усл. рыночной нестабил.: Моногр./Н.К.Моисеева - М:КУРС:ИНФРА-М,2024.-408с.(п)</t>
  </si>
  <si>
    <t>ТРАНСФОРМАЦИЯ БИЗНЕСА В УСЛОВИЯХ РЫНОЧНОЙ НЕСТАБИЛЬНОСТИ</t>
  </si>
  <si>
    <t>Моисеева Н. К., Гончарова Т. Н., Марина О. А., Седова О. В., Моисеева Н. К.</t>
  </si>
  <si>
    <t>978-5-905554-78-0</t>
  </si>
  <si>
    <t>38.04.01, 38.04.02, 38.04.04, 38.04.08</t>
  </si>
  <si>
    <t>774899.01.01</t>
  </si>
  <si>
    <t>Трансформация внутренней торговли Рос. в совр. условиях: Моногр. / Р.Р.Салихова-М.:НИЦ ИНФРА-М,2022.-151 с.(О)</t>
  </si>
  <si>
    <t>ТРАНСФОРМАЦИЯ ВНУТРЕННЕЙ ТОРГОВЛИ РОССИИ В СОВРЕМЕННЫХ УСЛОВИЯХ</t>
  </si>
  <si>
    <t>Салихова Р.Р., Иванов Г.Г.</t>
  </si>
  <si>
    <t>978-5-16-017610-9</t>
  </si>
  <si>
    <t>38.04.01, 38.04.02, 38.04.06, 38.04.07, 38.06.01</t>
  </si>
  <si>
    <t>684034.07.01</t>
  </si>
  <si>
    <t>Трансформация прав чел. в совр. мире: Моногр. / Н.В.Колотова - М.:Юр.Норма, НИЦ ИНФРА-М,2026  - 256 с.(П)</t>
  </si>
  <si>
    <t>ТРАНСФОРМАЦИЯ ПРАВ ЧЕЛОВЕКА В СОВРЕМЕННОМ МИРЕ</t>
  </si>
  <si>
    <t>Колотова Н.В., Сырых В.М., Сюкияйнен Л.Р. и др.</t>
  </si>
  <si>
    <t>978-5-91768-933-3</t>
  </si>
  <si>
    <t>824324.01.01</t>
  </si>
  <si>
    <t>Трансформация сис. упр. банкротством в Роcсии: Моногр. / О.А.Львова - М.:НИЦ ИНФРА-М,2025. - 392 с.(п)</t>
  </si>
  <si>
    <t>ТРАНСФОРМАЦИЯ СИСТЕМЫ УПРАВЛЕНИЯ БАНКРОТСТВОМ В РОCСИИ</t>
  </si>
  <si>
    <t>Львова О.А.</t>
  </si>
  <si>
    <t>978-5-16-019950-4</t>
  </si>
  <si>
    <t>38.04.01, 38.04.02, 38.04.04, 38.04.09, 38.06.01</t>
  </si>
  <si>
    <t>804773.02.01</t>
  </si>
  <si>
    <t>Трансформация совр. мир. порядка в услов. украин. кризиса / О.А.Овсянникова - М.:НИЦ ИНФРА-М,2025. - 282 с.(п)</t>
  </si>
  <si>
    <t>ТРАНСФОРМАЦИЯ СОВРЕМЕННОГО МИРОВОГО ПОРЯДКА В УСЛОВИЯХ УКРАИНСКОГО КРИЗИСА</t>
  </si>
  <si>
    <t>Овсянникова О.А.</t>
  </si>
  <si>
    <t>978-5-16-018900-0</t>
  </si>
  <si>
    <t>41.03.04, 41.03.05, 41.04.05, 41.06.01</t>
  </si>
  <si>
    <t>АНО НИЦ "Национальная Безопасность"</t>
  </si>
  <si>
    <t>817383.01.01</t>
  </si>
  <si>
    <t>Три аспекта реконструкции экономикс: Моногр. / В.С.Гродский-М.:ИЦ РИОР, НИЦ ИНФРА-М,2024.-316 с.(п)</t>
  </si>
  <si>
    <t>ТРИ АСПЕКТА РЕКОНСТРУКЦИИ ЭКОНОМИКС</t>
  </si>
  <si>
    <t>978-5-369-01943-6</t>
  </si>
  <si>
    <t>158150.11.01</t>
  </si>
  <si>
    <t>Три главные проблемы подростка с девиантным повед... / В.К.Зарецкий. - М.:Форум,2025. - 205 с.(О)</t>
  </si>
  <si>
    <t>ТРИ ГЛАВНЫЕ ПРОБЛЕМЫ ПОДРОСТКА С ДЕВИАНТНЫМ ПОВЕДЕНИЕМ. ПОЧЕМУ ВОЗНИКАЮТ? КАК ПОМОЧЬ?</t>
  </si>
  <si>
    <t>Зарецкий В. К., Смирнова Н. С., Зарецкий Ю. В., Евлашкина Н. М.</t>
  </si>
  <si>
    <t>978-5-91134-547-1</t>
  </si>
  <si>
    <t>31.05.02, 37.03.01, 44.03.01, 44.03.05</t>
  </si>
  <si>
    <t>666543.09.01</t>
  </si>
  <si>
    <t>Триатлон: теория и практика тренировки: Моногр. / Данилова Е.Н. - М.:НИЦ ИНФРА-М, СФУ,2024-242 с.(П)</t>
  </si>
  <si>
    <t>ТРИАТЛОН: ТЕОРИЯ И ПРАКТИКА ТРЕНИРОВКИ</t>
  </si>
  <si>
    <t>Данилова Е.Н., Христофоров А.Н., Вериго Л.И. и др.</t>
  </si>
  <si>
    <t>978-5-16-016124-2</t>
  </si>
  <si>
    <t>49.03.01, 49.04.01, 49.04.03, 49.06.01</t>
  </si>
  <si>
    <t>656026.04.01</t>
  </si>
  <si>
    <t>Труд и окружающая среда: проблемы взаимод.и регул.:Моногр./Е.А.Пироженко-М.:НИЦ ИНФРА-М,2023-104с(О)</t>
  </si>
  <si>
    <t>ТРУД И ОКРУЖАЮЩАЯ СРЕДА: ПРОБЛЕМЫ ВЗАИМОДЕЙСТВИЯ И РЕГУЛИРОВАНИЯ</t>
  </si>
  <si>
    <t>Пироженко Е.А.</t>
  </si>
  <si>
    <t>978-5-16-012716-3</t>
  </si>
  <si>
    <t>38.03.03</t>
  </si>
  <si>
    <t>704205.03.01</t>
  </si>
  <si>
    <t>Труд как творчество: мозаика наблюд., цитат, выводов: Моногр. / В.К.Харченко - М.:НИЦ ИНФРА-М,2025 - 155 с.(о)</t>
  </si>
  <si>
    <t>ТРУД КАК ТВОРЧЕСТВО: МОЗАИКА НАБЛЮДЕНИЙ, ЦИТАТ, ВЫВОДОВ</t>
  </si>
  <si>
    <t>978-5-16-014938-7</t>
  </si>
  <si>
    <t>810458.01.01</t>
  </si>
  <si>
    <t>Трудовая повседневн. купеч-ва Оренбург. губерн. в пореформ.../К.А.Абдрахманов-М.:НИЦ ИНФРА-М,2024-231с(о)</t>
  </si>
  <si>
    <t>ТРУДОВАЯ ПОВСЕДНЕВНОСТЬ КУПЕЧЕСТВА ОРЕНБУРГСКОЙ ГУБЕРНИИ В ПОРЕФОРМЕННЫЙ ПЕРИОД  (1865‒1914)</t>
  </si>
  <si>
    <t>Абдрахманов К.А.</t>
  </si>
  <si>
    <t>978-5-16-019007-5</t>
  </si>
  <si>
    <t>768622.03.01</t>
  </si>
  <si>
    <t>Трудовое право: нац. и международное измерение: Моногр.: Т. 1 / Н.Л.Лютов-М.:Юр.Норма,2024.-608.(П)</t>
  </si>
  <si>
    <t>ТРУДОВОЕ ПРАВО: НАЦИОНАЛЬНОЕ И МЕЖДУНАРОДНОЕ ИЗМЕРЕНИЕ, Т.1</t>
  </si>
  <si>
    <t>Лютов Н.Л., Бобков В.Н., Волк Е.А. и др.</t>
  </si>
  <si>
    <t>978-5-00156-211-5</t>
  </si>
  <si>
    <t>774777.02.01</t>
  </si>
  <si>
    <t>Трудовое право: национальное и межд. измерение: Т.2: Моногр. / С.Ю.Головина - М.:Юр. НОРМА,2024-568 с.(П)</t>
  </si>
  <si>
    <t>ТРУДОВОЕ ПРАВО: НАЦИОНАЛЬНОЕ И МЕЖДУНАРОДНОЕ ИЗМЕРЕНИЕ, Т.2</t>
  </si>
  <si>
    <t>Головина С.Ю., Лютов Н.Л., Бережнов А.А. и др.</t>
  </si>
  <si>
    <t>978-5-00156-228-3</t>
  </si>
  <si>
    <t>38.04.01, 40.03.01, 40.04.01, 40.05.01, 40.05.02, 40.05.03, 40.05.04</t>
  </si>
  <si>
    <t>666946.08.01</t>
  </si>
  <si>
    <t>Трудовое право:опыт сравнит. исслед.: Моногр. / Лебедев В.М. - М.:Юр.Норма,НИЦ ИНФРА-М,2025 - 480с(П)</t>
  </si>
  <si>
    <t>ТРУДОВОЕ ПРАВО: ОПЫТ СРАВНИТЕЛЬНОГО ИССЛЕДОВАНИЯ</t>
  </si>
  <si>
    <t>Лебедев В.М., Мельникова В.Г., Назметдинов Р.Р.</t>
  </si>
  <si>
    <t>978-5-91768-867-1</t>
  </si>
  <si>
    <t>865530.01.01</t>
  </si>
  <si>
    <t>Трудоправовая природа проф. деят. судьи: Моногр. / Ю.Ю.Воздвиженская-М.:НИЦ ИНФРА-М,2025.-271 с.(п)</t>
  </si>
  <si>
    <t>ТРУДОПРАВОВАЯ ПРИРОДА ПРОФЕССИОНАЛЬНОЙ ДЕЯТЕЛЬНОСТИ СУДЬИ</t>
  </si>
  <si>
    <t>Воздвиженская Ю.Ю.</t>
  </si>
  <si>
    <t>978-5-16-021421-4</t>
  </si>
  <si>
    <t>765509.01.01</t>
  </si>
  <si>
    <t>Тунисская революция: предпосылки...: Моногр. / В.В.Желтов - М.:НИЦ ИНФРА-М,2022 - 273 с.(Науч.мысль)(О)</t>
  </si>
  <si>
    <t>ТУНИССКАЯ РЕВОЛЮЦИЯ: ПРЕДПОСЫЛКИ, ОСОБЕННОСТИ, ПРАВОВЫЕ ОСНОВАНИЯ</t>
  </si>
  <si>
    <t>978-5-16-017288-0</t>
  </si>
  <si>
    <t>712071.04.01</t>
  </si>
  <si>
    <t>Туризм для лиц пожилого возраста: Моногр. / И.В.Грошев - М.:НИЦ ИНФРА-М,2025-303 с.(Науч.мысль)(П)</t>
  </si>
  <si>
    <t>ТУРИЗМ ДЛЯ ЛИЦ ПОЖИЛОГО ВОЗРАСТА</t>
  </si>
  <si>
    <t>Грошев И.В., Корчагин Е.П.</t>
  </si>
  <si>
    <t>978-5-16-015363-6</t>
  </si>
  <si>
    <t>43.04.01, 43.04.02, 43.04.03</t>
  </si>
  <si>
    <t>654593.06.01</t>
  </si>
  <si>
    <t>Туризм: Словарь / Под ред. Морозова М.А.- М.:НИЦ ИНФРА-М,2024 - 300 с.(Б-ка сл. ИНФРА-М)(П)</t>
  </si>
  <si>
    <t>ТУРИЗМ</t>
  </si>
  <si>
    <t>Морозов М.А., Морозова Н.С., Фролов А.И. и др.</t>
  </si>
  <si>
    <t>978-5-16-014476-4</t>
  </si>
  <si>
    <t>43.00.00, 43.02.16, 43.03.02, 43.04.01, 43.04.02, 43.04.03, 49.03.03</t>
  </si>
  <si>
    <t>103650.12.01</t>
  </si>
  <si>
    <t>Туристический комплекс России : Моногр. / А.О.Овчаров - М.:НИЦ ИНФРА-М,2025 - 280 с.(Науч.мысль)(О)</t>
  </si>
  <si>
    <t>ТУРИСТИЧЕСКИЙ КОМПЛЕКС РОССИИ: ТЕНДЕНЦИИ, РИСКИ, ПЕРСПЕКТИВЫ</t>
  </si>
  <si>
    <t>Овчаров А.О.</t>
  </si>
  <si>
    <t>978-5-16-005283-0</t>
  </si>
  <si>
    <t>43.02.16, 43.03.02, 43.03.03, 43.04.02, 43.04.03</t>
  </si>
  <si>
    <t>641718.08.01</t>
  </si>
  <si>
    <t>Тьютор и воспитанник...: Моногр. / Под ред. Сластенина В.А. - 2 изд. - М.:НИЦ ИНФРА-М,2025 - 72с.(О)</t>
  </si>
  <si>
    <t>ТЬЮТОР И ВОСПИТАННИК: ПЕДАГОГИЧЕСКОЕ ВЗАИМОДЕЙСТВИЕ СИСТЕМ ЦЕННОСТЕЙ, ИЗД.2</t>
  </si>
  <si>
    <t>Яковлев С.В., Сластенин В.А.</t>
  </si>
  <si>
    <t>978-5-16-012356-1</t>
  </si>
  <si>
    <t>44.02.02, 44.02.03, 44.03.01, 44.03.05, 44.04.01</t>
  </si>
  <si>
    <t>032900.04.01</t>
  </si>
  <si>
    <t>Тюремная субкультура в России: от повседн.жизни: Моногр. / А.Н.Олейник-М.:НИЦ ИНФРА-М,2018-418с.(П)</t>
  </si>
  <si>
    <t>ТЮРЕМНАЯ СУБКУЛЬТУРА В РОССИИ: ОТ ПОВСЕДНЕВНОЙ ЖИЗНИ ДО ГОСУДАРСТВЕННОЙ ВЛАСТИ</t>
  </si>
  <si>
    <t>Олейник А. Н.</t>
  </si>
  <si>
    <t>978-5-16-005501-5</t>
  </si>
  <si>
    <t>0101</t>
  </si>
  <si>
    <t>683390.02.01</t>
  </si>
  <si>
    <t>Убеждающее воздейст. в сфере дел. общения: Моногр. / Л.Г.Павлова, - 2 изд.-М.:ИЦ РИОР, НИЦ ИНФРА-М,2020-144с(О)</t>
  </si>
  <si>
    <t>УБЕЖДАЮЩЕЕ ВОЗДЕЙСТВИЕ В СФЕРЕ ДЕЛОВОГО ОБЩЕНИЯ, ИЗД.2</t>
  </si>
  <si>
    <t>978-5-369-01779-1</t>
  </si>
  <si>
    <t>38.03.01, 38.03.02, 38.03.03, 38.03.04, 38.04.01, 38.04.02, 38.04.03, 38.04.04, 38.04.06, 40.03.01, 40.04.01, 41.03.06</t>
  </si>
  <si>
    <t>683390.05.01</t>
  </si>
  <si>
    <t>Убеждающее воздейст. в сфере дел. общения: Моногр. / Л.Г.Павлова, - 3 изд.-М.:ИЦ РИОР, НИЦ ИНФРА-М,2024-162с(О)</t>
  </si>
  <si>
    <t>УБЕЖДАЮЩЕЕ ВОЗДЕЙСТВИЕ В СФЕРЕ ДЕЛОВОГО ОБЩЕНИЯ, ИЗД.3</t>
  </si>
  <si>
    <t>978-5-369-01907-8</t>
  </si>
  <si>
    <t>230500.06.01</t>
  </si>
  <si>
    <t>Убийства при привилегирующих обстоятельствах и иные..: Моногр. / Н.А.Бабий - ИНФРА-М, 2020 250 с. (О)</t>
  </si>
  <si>
    <t>УБИЙСТВА ПРИ ПРИВИЛЕГИРУЮЩИХ ОБСТОЯТЕЛЬСТВАХ И ИНЫЕ ПРЕСТУПЛЕНИЯ ПРОТИВ ЖИЗНИ</t>
  </si>
  <si>
    <t>978-5-16-009060-3</t>
  </si>
  <si>
    <t>814275.02.01</t>
  </si>
  <si>
    <t>Углеродная нейтрализация сталеплав., энерг. и цем. производств... / С.В.Ласанкин - М.:НИЦ ИНФРА-М,2024 - 307 с.(о)</t>
  </si>
  <si>
    <t>УГЛЕРОДНАЯ НЕЙТРАЛИЗАЦИЯ СТАЛЕПЛАВИЛЬНЫХ, ЭНЕРГЕТИЧЕСКИХ И ЦЕМЕНТНЫХ ПРОИЗВОДСТВ. СИЛУЭТЫ УГЛЕРОД-НЕЙТРАЛЬНОЙ ПРОМЫШЛЕННОСТИ.</t>
  </si>
  <si>
    <t>Ласанкин С.В.</t>
  </si>
  <si>
    <t>978-5-16-019459-2</t>
  </si>
  <si>
    <t>794584.03.01</t>
  </si>
  <si>
    <t>Уголовная ответств. за неправомер. воздействие...: Моногр. / И.И.Малыгин-М.:НИЦ ИНФРА-М,2024.-164 с.(о)</t>
  </si>
  <si>
    <t>УГОЛОВНАЯ ОТВЕТСТВЕННОСТЬ ЗА НЕПРАВОМЕРНОЕ ВОЗДЕЙСТВИЕ НА КРИТИЧЕСКУЮ ИНФОРМАЦИОННУЮ ИНФРАСТРУКТУРУ</t>
  </si>
  <si>
    <t>Малыгин И.И.</t>
  </si>
  <si>
    <t>978-5-16-018197-4</t>
  </si>
  <si>
    <t>10.05.04, 38.05.01, 40.04.01, 40.05.01, 40.05.02, 40.05.04, 40.06.01</t>
  </si>
  <si>
    <t>Департамент государственной службы и кадров Министерства юстиции Российской Федерации</t>
  </si>
  <si>
    <t>825892.01.01</t>
  </si>
  <si>
    <t>Уголовная ответств. за посягательство на объекты культур. наследия.../ Е.Д.Болотова-М.:НИЦ ИНФРА-М,2025-208с(о)</t>
  </si>
  <si>
    <t>УГОЛОВНАЯ ОТВЕТСТВЕННОСТЬ ЗА ПОСЯГАТЕЛЬСТВО НА ОБЪЕКТЫ КУЛЬТУРНОГО НАСЛЕДИЯ, ВЗЯТЫЕ ПОД ОХРАНУ ГОСУДАРСТВОМ</t>
  </si>
  <si>
    <t>Болотова Е.Д.</t>
  </si>
  <si>
    <t>978-5-16-019855-2</t>
  </si>
  <si>
    <t>Департамент уголовного и административного законодательства Министерства юстиции Российской Федерации</t>
  </si>
  <si>
    <t>061610.09.01</t>
  </si>
  <si>
    <t>Уголовная социология: Моногр. / Э.Ферри - М.:ИНФРА-М Изд. Дом,2025. -  658 с.(п)</t>
  </si>
  <si>
    <t>УГОЛОВНАЯ СОЦИОЛОГИЯ</t>
  </si>
  <si>
    <t>Ферри Э., Овчинский В. С.</t>
  </si>
  <si>
    <t>5-16-002315-1</t>
  </si>
  <si>
    <t>808504.01.01</t>
  </si>
  <si>
    <t>Уголовное наказание и его цели: Моногр. / И.В.Дворянсков - М.:НИЦ ИНФРА-М,2025. - 166 с.(Науч.мысль)(п)</t>
  </si>
  <si>
    <t>УГОЛОВНОЕ НАКАЗАНИЕ И ЕГО ЦЕЛИ</t>
  </si>
  <si>
    <t>Дворянсков И.В.</t>
  </si>
  <si>
    <t>978-5-16-020050-7</t>
  </si>
  <si>
    <t>694924.09.01</t>
  </si>
  <si>
    <t>Уголовное право и "цифр. преступ.": проблемы...: Моногр. / Е.А.Русскевич - 2 изд.- М.:НИЦ ИНФРА-М,2023 -351с(П)</t>
  </si>
  <si>
    <t>УГОЛОВНОЕ ПРАВО И "ЦИФРОВАЯ ПРЕСТУПНОСТЬ": ПРОБЛЕМЫ И РЕШЕНИЯ, ИЗД.2</t>
  </si>
  <si>
    <t>Русскевич Е.А.</t>
  </si>
  <si>
    <t>978-5-16-017297-2</t>
  </si>
  <si>
    <t>694924.05.01</t>
  </si>
  <si>
    <t>Уголовное право и "цифр. преступ.": проблемы...: Моногр. / Е.А.Русскевич - М.:НИЦ ИНФРА-М,2022 -227с(о)</t>
  </si>
  <si>
    <t>УГОЛОВНОЕ ПРАВО И "ЦИФРОВАЯ ПРЕСТУПНОСТЬ": ПРОБЛЕМЫ И РЕШЕНИЯ</t>
  </si>
  <si>
    <t>978-5-16-016794-7</t>
  </si>
  <si>
    <t>786082.05.01</t>
  </si>
  <si>
    <t>Уголовное судопроизводство...: Моногр. / Л.А.Воскобитова - М.:Юр. НОРМА, НИЦ ИНФРА-М,2025. - 288 с.(п)</t>
  </si>
  <si>
    <t>УГОЛОВНОЕ СУДОПРОИЗВОДСТВО: ТРАНСФОРМАЦИЯ ТЕОРЕТИЧЕСКИХ ПРЕДСТАВЛЕНИЙ И РЕГУЛИРОВАНИЯ В УСЛОВИЯХ ЦИФРОВИЗАЦИИ</t>
  </si>
  <si>
    <t>978-5-00156-259-7</t>
  </si>
  <si>
    <t>649111.01.01</t>
  </si>
  <si>
    <t>Уголовное судопроизводство: Сл. / Под ред. Смолькова И.В.-М.:НИЦ ИНФРА-М,2024.-217 с..-(п)</t>
  </si>
  <si>
    <t>УГОЛОВНОЕ СУДОПРОИЗВОДСТВО</t>
  </si>
  <si>
    <t>Буфетова М.Ш., Дунаева М.С., Зеленская Т.В. и др.</t>
  </si>
  <si>
    <t>978-5-16-018265-0</t>
  </si>
  <si>
    <t>10.05.04, 38.05.01, 38.05.02, 40.02.02, 40.02.04, 40.03.01, 40.04.01, 40.05.01, 40.05.02, 40.05.03, 40.05.04, 40.06.01</t>
  </si>
  <si>
    <t>812766.01.01</t>
  </si>
  <si>
    <t>Уголовно-правовая охрана обществ. отнош. в сфере...: Моногр. / В.Н.Некрасов-М.:НИЦ ИНФРА-М,2024.-379 с.(п)</t>
  </si>
  <si>
    <t>УГОЛОВНО-ПРАВОВАЯ ОХРАНА ОБЩЕСТВЕННЫХ ОТНОШЕНИЙ В СФЕРЕ ИННОВАЦИОННОЙ ДЕЯТЕЛЬНОСТИ</t>
  </si>
  <si>
    <t>978-5-16-019244-4</t>
  </si>
  <si>
    <t>821280.01.01</t>
  </si>
  <si>
    <t>Уголовно-правовое значение возмещения ущерба, причиненного... / С.А.Шумаков-М.:НИЦ ИНФРА-М,2024.-175 с.(о)</t>
  </si>
  <si>
    <t>УГОЛОВНО-ПРАВОВОЕ ЗНАЧЕНИЕ ВОЗМЕЩЕНИЯ УЩЕРБА, ПРИЧИНЕННОГО ПРЕСТУПЛЕНИЕМ: ТЕОРЕТИЧЕСКИЕ И ПРАКТИЧЕСКИЕ АСПЕКТЫ</t>
  </si>
  <si>
    <t>Шумаков С.А.</t>
  </si>
  <si>
    <t>978-5-16-019707-4</t>
  </si>
  <si>
    <t>Российский государственный университет правосудия, Северо-Кавказский ф-л</t>
  </si>
  <si>
    <t>110150.10.01</t>
  </si>
  <si>
    <t>Уголовно-статистические этюды / Н.А. Неклюдов. - М.: ИНФРА-М, 2025. - 197 с. (п)</t>
  </si>
  <si>
    <t>УГОЛОВНО-СТАТИСТИЧЕСКИЕ ЭТЮДЫ</t>
  </si>
  <si>
    <t>Неклюдов Н. А., Овчинский В. С., Федоров А. В.</t>
  </si>
  <si>
    <t>978-5-16-003627-4</t>
  </si>
  <si>
    <t>459250.06.01</t>
  </si>
  <si>
    <t>Уголь России: состояние и перспективы: Моногр. / В.Я.Афанасьев. - М.:НИЦ ИНФРА-М,2025. - 271 с..(О)</t>
  </si>
  <si>
    <t>УГОЛЬ РОССИИ: СОСТОЯНИЕ И ПЕРСПЕКТИВЫ</t>
  </si>
  <si>
    <t>Афанасьев В. Я., Линник Ю. Н., Линник В. Ю.</t>
  </si>
  <si>
    <t>978-5-16-009436-6</t>
  </si>
  <si>
    <t>708146.02.01</t>
  </si>
  <si>
    <t>Угрозы кадровой безопас. орг.: Моногр. / Н.В.Кузнецова-М.:НИЦ ИНФРА-М,2023.-262 с..-(Науч.мысль)(О)</t>
  </si>
  <si>
    <t>УГРОЗЫ КАДРОВОЙ БЕЗОПАСНОСТИ ОРГАНИЗАЦИИ</t>
  </si>
  <si>
    <t>Кузнецова Н.В.</t>
  </si>
  <si>
    <t>978-5-16-015804-4</t>
  </si>
  <si>
    <t>38.04.03, 38.04.04, 38.06.01</t>
  </si>
  <si>
    <t>808966.01.01</t>
  </si>
  <si>
    <t>УК РФ - М.:НИЦ ИНФРА-М,2025. - 396 с.(п)</t>
  </si>
  <si>
    <t>УГОЛОВНЫЙ КОДЕКС РОССИЙСКОЙ ФЕДЕРАЦИИ</t>
  </si>
  <si>
    <t>978-5-16-018821-8</t>
  </si>
  <si>
    <t>10.05.04, 37.05.02, 38.04.01, 38.05.01, 38.05.02, 40.02.02, 40.02.04, 40.03.01, 40.05.01, 40.05.02, 40.05.03, 40.05.04, 44.03.05</t>
  </si>
  <si>
    <t>813754.03.01</t>
  </si>
  <si>
    <t>Украина в системе международ. отношений...: Моногр. / О.А.Овсянникова - М.:НИЦ ИНФРА-М,2026 - 275 с.(п)</t>
  </si>
  <si>
    <t>УКРАИНА В СИСТЕМЕ МЕЖДУНАРОДНЫХ ОТНОШЕНИЙ: ИСТОРИЧЕСКАЯ И СОВРЕМЕННАЯ ПРАКТИКА</t>
  </si>
  <si>
    <t>978-5-16-019143-0</t>
  </si>
  <si>
    <t>41.03.04, 41.04.04, 41.04.05, 41.06.01</t>
  </si>
  <si>
    <t>823368.02.01</t>
  </si>
  <si>
    <t>Укрепление морально-психолог. сост. рус. армии...: Моногр. / В.А.Стрельников - М.:НИЦ ИНФРА-М,2025 - 395 с.(п)</t>
  </si>
  <si>
    <t>УКРЕПЛЕНИЕ МОРАЛЬНО-ПСИХОЛОГИЧЕСКОГО СОСТОЯНИЯ РУССКОЙ АРМИИ ВО ВТОРОЙ ПОЛОВИНЕ XIX ВЕКА</t>
  </si>
  <si>
    <t>Стрельников В.А.</t>
  </si>
  <si>
    <t>978-5-16-019901-6</t>
  </si>
  <si>
    <t>46.04.01, 46.06.01, 56.04.01, 56.07.01</t>
  </si>
  <si>
    <t>Военная академия генерального штаба вооруженных сил российской федерации</t>
  </si>
  <si>
    <t>771232.01.01</t>
  </si>
  <si>
    <t>Улучшение характеристик электроизоляц. матер...: Моногр. / А.Ф.Бурков.-М.:НИЦ ИНФРА-М,2022.-156 с.(О)</t>
  </si>
  <si>
    <t>УЛУЧШЕНИЕ ХАРАКТЕРИСТИК ЭЛЕКТРОИЗОЛЯЦИОННЫХ МАТЕРИАЛОВ ОБМОТОК ЭЛЕКТРИЧЕСКИХ МАШИН</t>
  </si>
  <si>
    <t>Бурков А.Ф., Николаев Д.С., Юрин В.Н. и др.</t>
  </si>
  <si>
    <t>978-5-16-017528-7</t>
  </si>
  <si>
    <t>766676.01.01</t>
  </si>
  <si>
    <t>Универсальность уникальности: Моногр. / С.В.Борзых - М.:НИЦ ИНФРА-М,2022 - 224 с.(Науч.мысль)(О)</t>
  </si>
  <si>
    <t>УНИВЕРСАЛЬНОСТЬ УНИКАЛЬНОСТИ</t>
  </si>
  <si>
    <t>978-5-16-017287-3</t>
  </si>
  <si>
    <t>838931.01.01</t>
  </si>
  <si>
    <t>Университетская культура: Моногр. / Л.О.Терновая - М.:НИЦ ИНФРА-М,2025. -  218 с.(Науч.мысль)(п)</t>
  </si>
  <si>
    <t>УНИВЕРСИТЕТСКАЯ КУЛЬТУРА</t>
  </si>
  <si>
    <t>978-5-16-020272-3</t>
  </si>
  <si>
    <t>44.04.02, 51.03.01</t>
  </si>
  <si>
    <t>636767.07.01</t>
  </si>
  <si>
    <t>Унификация и гармониз.в международ....: Моногр. / Г.К.Дмитриева - М.:Юр.Норма,НИЦ ИНФРА-М,2024-208с.(П)</t>
  </si>
  <si>
    <t>УНИФИКАЦИЯ И ГАРМОНИЗАЦИЯ В МЕЖДУНАРОДНОМ ЧАСТНОМ ПРАВЕ. ВОПРОСЫ ТЕОРИИ И ПРАКТИКИ</t>
  </si>
  <si>
    <t>Дмитриева Г.К.</t>
  </si>
  <si>
    <t>978-5-91768-753-7</t>
  </si>
  <si>
    <t>741210.02.01</t>
  </si>
  <si>
    <t>Унификация цивилист. процессуал. законодательства.../ М.В.Самсонова - М.:Юр.Норма, НИЦ ИНФРА-М,2025. - 328 с.(П)</t>
  </si>
  <si>
    <t>УНИФИКАЦИЯ ЦИВИЛИСТИЧЕСКОГО ПРОЦЕССУАЛЬНОГО ЗАКОНОДАТЕЛЬСТВА: АНАЛИЗ, ПЕРСПЕКТИВЫ</t>
  </si>
  <si>
    <t>978-5-00156-088-3</t>
  </si>
  <si>
    <t>863776.01.01</t>
  </si>
  <si>
    <t>УПК РФ - М.:НИЦ ИНФРА-М,2025. - 415 с.(п)</t>
  </si>
  <si>
    <t>УГОЛОВНО-ПРОЦЕССУАЛЬНЫЙ КОДЕКС РОССИЙСКОЙ ФЕДЕРАЦИИ</t>
  </si>
  <si>
    <t>978-5-16-021266-1</t>
  </si>
  <si>
    <t>40.05.01, 40.05.02, 40.03.02</t>
  </si>
  <si>
    <t>456950.05.01</t>
  </si>
  <si>
    <t>Управление в социально-эконом. сис. бесприбыл..: Моногр./С.Д.Резник - 2 изд. - ИНФРА-М,2023-234 с.(О)</t>
  </si>
  <si>
    <t>УПРАВЛЕНИЕ В СОЦИАЛЬНО-ЭКОНОМИЧЕСКИХ СИСТЕМАХ БЕСПРИБЫЛЬНОГО СЕКТОРА, ИЗД.2</t>
  </si>
  <si>
    <t>Бобров В. А., Бондаренко В. В., Егорова Н. Ю., Нижегородцев Р. М., Резник С. Д.</t>
  </si>
  <si>
    <t>978-5-16-009386-4</t>
  </si>
  <si>
    <t>38.04.01, 38.04.02, 38.04.04</t>
  </si>
  <si>
    <t>469150.04.01</t>
  </si>
  <si>
    <t>Управление взаимоотношениями с потребит. образов...: Моногр./Е.А.Неретина-РИОР:ИНФРА-М,2019-156с.(о)</t>
  </si>
  <si>
    <t>УПРАВЛЕНИЕ ВЗАИМООТНОШЕНИЯМИ С ПОТРЕБИТЕЛЯМИ ОБРАЗОВАТЕЛЬНЫХ УСЛУГ В СФЕРЕ ВЫСШЕГО ПРОФЕССИОНАЛЬНОГО ОБРАЗОВАНИЯ</t>
  </si>
  <si>
    <t>Неретина Е.А., Соловьев Т.Г.</t>
  </si>
  <si>
    <t>978-5-369-01359-5</t>
  </si>
  <si>
    <t>38.03.02, 38.04.02, 44.03.01, 44.04.01</t>
  </si>
  <si>
    <t>740834.01.01</t>
  </si>
  <si>
    <t>Управление внутр. резерв. сниж. себестоимости продукции / А.Н.Сунтеев-М.:НИЦ ИНФРА-М,2021.-175 с.(О)</t>
  </si>
  <si>
    <t>УПРАВЛЕНИЕ ВНУТРЕННИМИ РЕЗЕРВАМИ СНИЖЕНИЯ СЕБЕСТОИМОСТИ ПРОДУКЦИИ МАШИНОСТРОЕНИЯ</t>
  </si>
  <si>
    <t>Сунтеев А.Н.</t>
  </si>
  <si>
    <t>978-5-16-016421-2</t>
  </si>
  <si>
    <t>468850.05.01</t>
  </si>
  <si>
    <t>Управление высшим образ.и наукой: опыт...: Моногр. / Р.М.Нижегородцев и др. - М.:НИЦ ИНФРА-М,2024-400с(П)</t>
  </si>
  <si>
    <t>УПРАВЛЕНИЕ ВЫСШИМ ОБРАЗОВАНИЕМ И НАУКОЙ: ОПЫТ, ПРОБЛЕМЫ, ПЕРСПЕКТИВЫ</t>
  </si>
  <si>
    <t>Нижегородцев Р.М., Резник С.Д.</t>
  </si>
  <si>
    <t>978-5-16-009913-2</t>
  </si>
  <si>
    <t>38.03.02, 38.04.02, 44.06.01</t>
  </si>
  <si>
    <t>685009.05.01</t>
  </si>
  <si>
    <t>Управление делами в гражд.процессе за рубежом: Моногр. / С.В.Лазарев-М.:Юр.Норма, НИЦ ИНФРА-М,2023-400с(П)</t>
  </si>
  <si>
    <t>УПРАВЛЕНИЕ ДЕЛАМИ В ГРАЖДАНСКОМ ПРОЦЕССЕ ЗА РУБЕЖОМ</t>
  </si>
  <si>
    <t>Лазарев С.В.</t>
  </si>
  <si>
    <t>978-5-91768-938-8</t>
  </si>
  <si>
    <t>Арбитражный суд Уральского округа</t>
  </si>
  <si>
    <t>481250.04.01</t>
  </si>
  <si>
    <t>Управление домашним хозяйством как соц.-эконом.системой: Моногр. /С.Д.Резник-М.:ИНФРА-М,2022-157с.(О)</t>
  </si>
  <si>
    <t>УПРАВЛЕНИЕ ДОМАШНИМ ХОЗЯЙСТВОМ КАК СОЦИАЛЬНО-ЭКОНОМИЧЕСКОЙ СИСТЕМОЙ</t>
  </si>
  <si>
    <t>Резник С.Д., Егорова Н.Ю.</t>
  </si>
  <si>
    <t>978-5-16-010405-8</t>
  </si>
  <si>
    <t>799191.02.01</t>
  </si>
  <si>
    <t>Управление избыточностью технических систем: Моногр. / В.Н.Буков. - М.:НИЦ ИНФРА-М,2025. - 332 с.(П)</t>
  </si>
  <si>
    <t>УПРАВЛЕНИЕ ИЗБЫТОЧНОСТЬЮ ТЕХНИЧЕСКИХ СИСТЕМ. СУПЕРВИЗОРНЫЙ СПОСОБ УПРАВЛЕНИЯ КОНФИГУРАЦИЯМИ</t>
  </si>
  <si>
    <t>Буков В.Н., Агеев А.М., Евгенов А.В. и др.</t>
  </si>
  <si>
    <t>978-5-16-018286-5</t>
  </si>
  <si>
    <t>09.04.02, 09.04.04, 09.06.01, 11.05.01, 11.06.01, 24.05.05, 24.05.06, 24.06.01</t>
  </si>
  <si>
    <t>Научно-исследовательский институт авиационного оборудования</t>
  </si>
  <si>
    <t>709018.02.01</t>
  </si>
  <si>
    <t>Управление измен. и развит. науч. орг. на микроуровне / Мальцева А.А.-М.:НИЦ ИНФРА-М,2023.-304 с.(П)</t>
  </si>
  <si>
    <t>УПРАВЛЕНИЕ ИЗМЕНЕНИЯМИ И РАЗВИТИЕМ НАУЧНЫХ ОРГАНИЗАЦИЙ НА МИКРОУРОВНЕ: ПРОБЛЕМЫ И РЕШЕНИЯ</t>
  </si>
  <si>
    <t>Мальцева А.А., Монахов И.А., Барсукова Н.Е. и др.</t>
  </si>
  <si>
    <t>978-5-16-015579-1</t>
  </si>
  <si>
    <t>00.05.16, 38.04.01, 38.04.02, 38.06.01</t>
  </si>
  <si>
    <t>682622.05.01</t>
  </si>
  <si>
    <t>Управление изменениями в высшей школе: Моногр./ С.Д.Резник - М.:НИЦ ИНФРА-М,2024-388с(Науч.мысль)(П)</t>
  </si>
  <si>
    <t>УПРАВЛЕНИЕ ИЗМЕНЕНИЯМИ В ВЫСШЕЙ ШКОЛЕ</t>
  </si>
  <si>
    <t>Резник С.Д., Амбарова П.А., Архипова М.Ю. и др.</t>
  </si>
  <si>
    <t>978-5-16-013937-1</t>
  </si>
  <si>
    <t>38.04.02, 44.04.01</t>
  </si>
  <si>
    <t>678011.05.01</t>
  </si>
  <si>
    <t>Управление изменениями в совр. компаниях: Моногр. / С.Д.Резник.-М.:НИЦ ИНФРА-М,2023.-263 с.(Науч.мысль)(П)</t>
  </si>
  <si>
    <t>УПРАВЛЕНИЕ ИЗМЕНЕНИЯМИ В СОВРЕМЕННЫХ КОМПАНИЯХ</t>
  </si>
  <si>
    <t>Резник С.Д., Алмастян Н.А., Анискин Ю.П. и др.</t>
  </si>
  <si>
    <t>978-5-16-013722-3</t>
  </si>
  <si>
    <t>38.03.02, 38.04.01, 38.04.02, 38.04.04, 41.03.06</t>
  </si>
  <si>
    <t>100780.07.01</t>
  </si>
  <si>
    <t>Управление инвестиц. деят. в регионах РФ: Моногр. / О.Ф.Быстров.-М.:НИЦ ИНФРА-М,2022.-357 с.(Науч.мысль)(П)</t>
  </si>
  <si>
    <t>УПРАВЛЕНИЕ ИНВЕСТИЦИОННОЙ ДЕЯТЕЛЬНОСТЬЮ В РЕГИОНАХ РОССИЙСКОЙ ФЕДЕРАЦИИ</t>
  </si>
  <si>
    <t>Быстров О. Ф., Поздняков В. Я., Прудников В. М., Перцов В. В., Казаков С. В.</t>
  </si>
  <si>
    <t>978-5-16-003075-3</t>
  </si>
  <si>
    <t>801688.01.01</t>
  </si>
  <si>
    <t>Управление инновациями и интеллект. собственностью: Моногр. / К.Б.Герасимов-М.:НИЦ ИНФРА-М,2023.-226 с.(п)</t>
  </si>
  <si>
    <t>УПРАВЛЕНИЕ ИННОВАЦИЯМИ И ИНТЕЛЛЕКТУАЛЬНОЙ СОБСТВЕННОСТЬЮ</t>
  </si>
  <si>
    <t>Герасимов К.Б., Шиханова Е.Г., Шкодина Е.С.</t>
  </si>
  <si>
    <t>978-5-16-018643-6</t>
  </si>
  <si>
    <t>11.04.01, 14.03.02, 22.04.02, 27.04.03, 27.04.06, 38.04.02</t>
  </si>
  <si>
    <t>652162.04.01</t>
  </si>
  <si>
    <t>Управление информ.взаимод. в распред. тех.: Моногр. / Ю.К.Апраксин-М.:Вуз.уч.,НИЦ ИНФРА-М,2023-184 с.(О)</t>
  </si>
  <si>
    <t>УПРАВЛЕНИЕ ИНФОРМАЦИОННЫМ ВЗАИМОДЕЙСТВИЕМ В РАСПРЕДЕЛЕННЫХ ТЕХНИЧЕСКИХ СИСТЕМАХ. КОНЕЧНО-АВТОМАТНЫЙ ПОДХОД</t>
  </si>
  <si>
    <t>Апраксин Ю.К.</t>
  </si>
  <si>
    <t>978-5-9558-0554-2</t>
  </si>
  <si>
    <t>02.03.02, 09.03.04, 09.04.01, 15.03.04, 27.03.04</t>
  </si>
  <si>
    <t>797531.03.01</t>
  </si>
  <si>
    <t>Управление ИТ-архитектурой организации...Т. 1. / Р.А.Исаев-М.:НИЦ ИНФРА-М,2024.-134 с. [16+](о)</t>
  </si>
  <si>
    <t>УПРАВЛЕНИЕ ИТ-АРХИТЕКТУРОЙ ОРГАНИЗАЦИИ: ПРОЕКТИРОВАНИЕ, АНАЛИЗ, ОПТИМИЗАЦИЯ И ТРАНСФОРМАЦИЯ. ТОМ 1</t>
  </si>
  <si>
    <t>978-5-16-018164-6</t>
  </si>
  <si>
    <t>09.00.00, 38.00.00, 09.05.01</t>
  </si>
  <si>
    <t>461950.07.01</t>
  </si>
  <si>
    <t>Управление кадр.резервом: теор.и практ.: Моногр. / К.Б.Фокин - М.:НИЦ ИНФРА-М,2024-277с(Науч.мысль)</t>
  </si>
  <si>
    <t>УПРАВЛЕНИЕ КАДРОВЫМ РЕЗЕРВОМ: ТЕОРИЯ И ПРАКТИКА</t>
  </si>
  <si>
    <t>Фокин К. Б.</t>
  </si>
  <si>
    <t>978-5-16-009541-7</t>
  </si>
  <si>
    <t>Сибирский государственный индустриальный университет</t>
  </si>
  <si>
    <t>776423.01.01</t>
  </si>
  <si>
    <t>Управление качеством на предприятиях ОПК...: Моногр. / В.Я.Савицкий. - М.:НИЦ ИНФРА-М,2026. - 173 с.(о)</t>
  </si>
  <si>
    <t>УПРАВЛЕНИЕ КАЧЕСТВОМ НА ПРЕДПРИЯТИЯХ ОПК В УСЛОВИЯХ ГЕОПОЛИТИЧЕСКИХ ВЫЗОВОВ</t>
  </si>
  <si>
    <t>Савицкий В.Я., Голубинский Ю.М., Григорян Е.С.</t>
  </si>
  <si>
    <t>978-5-16-020815-2</t>
  </si>
  <si>
    <t>15.04.01, 15.06.01, 27.04.02, 27.04.07, 27.06.01, 38.04.01, 38.04.02, 38.06.01</t>
  </si>
  <si>
    <t>800501.01.01</t>
  </si>
  <si>
    <t>Управление качеством науч.-педагогич. деят. в высшей шк.: Моногр. / С.Ф.Остапюк - М.:НИЦ ИНФРА-М,2025. - 186 с.(о)</t>
  </si>
  <si>
    <t>УПРАВЛЕНИЕ КАЧЕСТВОМ НАУЧНО-ПЕДАГОГИЧЕСКОЙ ДЕЯТЕЛЬНОСТИ В ВЫСШЕЙ ШКОЛЕ: ПРОБЛЕМЫ И РЕШЕНИЯ</t>
  </si>
  <si>
    <t>Остапюк С.Ф., Куприянова Л.М.</t>
  </si>
  <si>
    <t>978-5-16-020049-1</t>
  </si>
  <si>
    <t>700916.02.01</t>
  </si>
  <si>
    <t>Управление качеством чел. ресурсов вуза: Моногр./ Ю.А.Масалова-М.:НИЦ ИНФРА-М, 2023-177 с.(О)</t>
  </si>
  <si>
    <t>УПРАВЛЕНИЕ КАЧЕСТВОМ ЧЕЛОВЕЧЕСКИХ РЕСУРСОВ ВУЗА</t>
  </si>
  <si>
    <t>978-5-16-014876-2</t>
  </si>
  <si>
    <t>687943.02.01</t>
  </si>
  <si>
    <t>Управление матер.оборот. средствами птицефабрик: Моногр. Н.А.Алексеева-М.:НИЦ ИНФРА-М,2023.-158 с(О)</t>
  </si>
  <si>
    <t>УПРАВЛЕНИЕ МАТЕРИАЛЬНЫМИ ОБОРОТНЫМИ СРЕДСТВАМИ ПТИЦЕФАБРИК</t>
  </si>
  <si>
    <t>Алексеева Н.А., Шамсутдинов Р.Ф.</t>
  </si>
  <si>
    <t>978-5-16-014280-7</t>
  </si>
  <si>
    <t>Удмуртский государственный аграрный университет</t>
  </si>
  <si>
    <t>725951.03.01</t>
  </si>
  <si>
    <t>Управление материал. ресурс. ж/д транспорта: Моногр. / А.В.Цевелев-М.:НИЦ ИНФРА-М,2021.-201 с.(Науч.мысль)(О)</t>
  </si>
  <si>
    <t>УПРАВЛЕНИЕ МАТЕРИАЛЬНЫМИ РЕСУРСАМИ ЖЕЛЕЗНОДОРОЖНОГО ТРАНСПОРТА</t>
  </si>
  <si>
    <t>978-5-16-015887-7</t>
  </si>
  <si>
    <t>149620.08.01</t>
  </si>
  <si>
    <t>Управление оборотными активами: логист. подход: Моногр. / И.В.Бабенко-М.:НИЦ ИНФРА-М,2024-167с(О)</t>
  </si>
  <si>
    <t>УПРАВЛЕНИЕ ОБОРОТНЫМИ АКТИВАМИ: ЛОГИСТИЧЕСКИЙ ПОДХОД</t>
  </si>
  <si>
    <t>Бабенко И.В., Тиньков С.А.</t>
  </si>
  <si>
    <t>978-5-16-004904-5</t>
  </si>
  <si>
    <t>769430.01.01</t>
  </si>
  <si>
    <t>Управление опережающим развит. высокотехнологич. отрасле... / А.А.Чурсин-М.:НИЦ ИНФРА-М,2023.-205 с.(О)</t>
  </si>
  <si>
    <t>УПРАВЛЕНИЕ ОПЕРЕЖАЮЩИМ РАЗВИТИЕМ ВЫСОКОТЕХНОЛОГИЧНЫХ ОТРАСЛЕЙ ПРОМЫШЛЕННОСТИ И ОРГАНИЗАЦИЙ</t>
  </si>
  <si>
    <t>Чурсин А.А., Нестеров Е.А.</t>
  </si>
  <si>
    <t>978-5-16-017995-7</t>
  </si>
  <si>
    <t>18.04.02, 27.04.06, 27.04.07, 38.04.01, 38.06.01</t>
  </si>
  <si>
    <t>838077.01.01</t>
  </si>
  <si>
    <t>Управление персонал. предпр.-участников транспорт.-логист. сис. / Н.Б.Куршакова - М.:НИЦ ИНФРА-М,2025 - 210 с.(п)</t>
  </si>
  <si>
    <t>УПРАВЛЕНИЕ ПЕРСОНАЛОМ ПРЕДПРИЯТИЙ — УЧАСТНИКОВ ТРАНСПОРТНО-ЛОГИСТИЧЕСКИХ СИСТЕМ</t>
  </si>
  <si>
    <t>Куршакова Н.Б.</t>
  </si>
  <si>
    <t>978-5-16-020290-7</t>
  </si>
  <si>
    <t>Омский государственный университет путей сообщения</t>
  </si>
  <si>
    <t>651586.08.01</t>
  </si>
  <si>
    <t>Управление персоналом в России...: Моногр. / Под ред. Дураковой И.Б. - М.:НИЦ ИНФРА-М,2024 - 242 с.(П)</t>
  </si>
  <si>
    <t>УПРАВЛЕНИЕ ПЕРСОНАЛОМ В РОССИИ: НОВЫЕ ФУНКЦИИ И НОВОЕ В ФУНКЦИЯХ</t>
  </si>
  <si>
    <t>Кибанов А.Я., Митрофанова Е.А., Геворгян Р.Н. и др.</t>
  </si>
  <si>
    <t>978-5-16-012762-0</t>
  </si>
  <si>
    <t>38.03.01, 38.03.02, 38.03.03, 38.04.02, 38.04.03, 38.04.04, 41.03.06, 44.03.01</t>
  </si>
  <si>
    <t>753741.03.01</t>
  </si>
  <si>
    <t>Управление персоналом в России...: Моногр. / Под ред. Дураковой И.Б.-М.:НИЦ ИНФРА-М,2024.-281 с.(П)</t>
  </si>
  <si>
    <t>УПРАВЛЕНИЕ ПЕРСОНАЛОМ В РОССИИ: ОТ ЭГО-  К ЭКОСИСТЕМЕ</t>
  </si>
  <si>
    <t>Дуракова И.Б., Митрофанова Е.А., Митрофанова А.Е. и др.</t>
  </si>
  <si>
    <t>978-5-16-017041-1</t>
  </si>
  <si>
    <t>38.03.01, 38.03.03, 38.04.01, 38.04.02, 38.04.03, 38.04.04, 38.06.01</t>
  </si>
  <si>
    <t>231200.12.01</t>
  </si>
  <si>
    <t>Управление персоналом в России...: Моногр. / Под ред. Кибанова А.Я. - М.:НИЦ ИНФРА-М,2025 - 240с(О)</t>
  </si>
  <si>
    <t>УПРАВЛЕНИЕ ПЕРСОНАЛОМ В РОССИИ: ИСТОРИЯ И СОВРЕМЕННОСТЬ</t>
  </si>
  <si>
    <t>Кибанов А.Я., Дуракова И.Б., Эсаулова И.А. и др.</t>
  </si>
  <si>
    <t>978-5-16-010226-9</t>
  </si>
  <si>
    <t>809513.01.01</t>
  </si>
  <si>
    <t>Управление персоналом в России...: Моногр. Кн.12 / И.Б.Дуракова. - М.:НИЦ ИНФРА-М,2025. - 248 с.(Науч.мысль)(п)</t>
  </si>
  <si>
    <t>УПРАВЛЕНИЕ ПЕРСОНАЛОМ В РОССИИ: АДАПТАЦИЯ К НАСТОЯЩЕМУ. КНИГА 12</t>
  </si>
  <si>
    <t>Дуракова И.Б., Гречко Т.Ю., Багирова А.П. и др.</t>
  </si>
  <si>
    <t>978-5-16-019989-4</t>
  </si>
  <si>
    <t>38.03.03, 38.04.02, 38.04.03</t>
  </si>
  <si>
    <t>678031.07.01</t>
  </si>
  <si>
    <t>Управление персоналом в России: 100 л. после рев.: Моногр. / Под ред. Дуракова И.Б. - М.:НИЦ ИНФРА-М,2025. - 290 c.(П)</t>
  </si>
  <si>
    <t>УПРАВЛЕНИЕ ПЕРСОНАЛОМ В РОССИИ: 100 ЛЕТ ПОСЛЕ РЕВОЛЮЦИИ</t>
  </si>
  <si>
    <t>Генкин Б.М., Глухова А.В., Дуракова И.Б. и др.</t>
  </si>
  <si>
    <t>978-5-16-013688-2</t>
  </si>
  <si>
    <t>38.03.01, 38.03.03, 38.04.03, 38.04.04, 41.03.06, 44.03.01</t>
  </si>
  <si>
    <t>699200.04.01</t>
  </si>
  <si>
    <t>Управление персоналом в России: Кн. 6: Моногр. / Под ред. Дураковой И.Б.-М.:НИЦ ИНФРА-М,2024.-297с(П)</t>
  </si>
  <si>
    <t>УПРАВЛЕНИЕ ПЕРСОНАЛОМ В РОССИИ: ВЫЗОВЫ XXI ВЕКА. КНИГА 6</t>
  </si>
  <si>
    <t>Глухова А.В., Митрофанова Е.А., Тарасенко В.В. и др.</t>
  </si>
  <si>
    <t>978-5-16-014752-9</t>
  </si>
  <si>
    <t>740845.03.01</t>
  </si>
  <si>
    <t>Управление персоналом в России: Кн. 8: Моногр. / Под ред. Дураковой И.Б.-М.:НИЦ ИНФРА-М,2022.-248 с.(П)</t>
  </si>
  <si>
    <t>УПРАВЛЕНИЕ ПЕРСОНАЛОМ В РОССИИ: КОНЦЕПЦИИ НОВОЙ НОРМАЛЬНОСТИ. КНИГА 8</t>
  </si>
  <si>
    <t>Долженкова Ю.В., Руденко Г.Г., Михайлов Ф.Б. и др.</t>
  </si>
  <si>
    <t>978-5-16-016419-9</t>
  </si>
  <si>
    <t>38.03.01, 38.04.01, 38.04.02, 38.04.03, 38.04.04, 38.06.01</t>
  </si>
  <si>
    <t>709442.03.01</t>
  </si>
  <si>
    <t>Управление персоналом в России: Кн.7: Моногр. / Под ред. Дураковой И.Б.-М.:НИЦ ИНФРА-М,2024-254 с.(П)</t>
  </si>
  <si>
    <t>УПРАВЛЕНИЕ ПЕРСОНАЛОМ В РОССИИ: ВЕКТОР ГУМАНИЗАЦИИ. КНИГА 7</t>
  </si>
  <si>
    <t>Разумова Т.О., Спиридонова Н.Б., Дуракова И.Б. и др.</t>
  </si>
  <si>
    <t>978-5-16-015840-2</t>
  </si>
  <si>
    <t>399400.05.01</t>
  </si>
  <si>
    <t>Управление персоналом в России: парадиг. и практ.: Моногр. Кн. 3 /Кибанов А.Я.-М.:НИЦ ИНФРА-М,2024-174с</t>
  </si>
  <si>
    <t>УПРАВЛЕНИЕ ПЕРСОНАЛОМ В РОССИИ: ПАРАДИГМЫ И ПРАКТИКА</t>
  </si>
  <si>
    <t>Кибанов А.Я.</t>
  </si>
  <si>
    <t>978-5-16-011280-0</t>
  </si>
  <si>
    <t>23.03.01, 38.03.01, 38.03.02, 38.03.03, 38.04.02, 38.04.03, 41.03.06, 44.03.01, 51.03.02</t>
  </si>
  <si>
    <t>804713.02.01</t>
  </si>
  <si>
    <t>Управление персоналом в России: перезагрузка. Кн.11: Моногр. / И.Б.Дуракова - М.:НИЦ ИНФРА-М,2024. - 343 с.(п)</t>
  </si>
  <si>
    <t>УПРАВЛЕНИЕ ПЕРСОНАЛОМ В РОССИИ: ПЕРЕЗАГРУЗКА. КНИГА 11</t>
  </si>
  <si>
    <t>Дуракова И.Б., Сотникова С.И., Сотников Н.З. и др.</t>
  </si>
  <si>
    <t>978-5-16-018626-9</t>
  </si>
  <si>
    <t>778787.01.01</t>
  </si>
  <si>
    <t>Управление персоналом в России: политика многообр..: Кн.10: Моногр. / И.Б.Дуракова-М.:НИЦ ИНФРА-М,2023-345с.(П)</t>
  </si>
  <si>
    <t>УПРАВЛЕНИЕ ПЕРСОНАЛОМ В РОССИИ: ПОЛИТИКА МНОГООБРАЗИЯ И ИНКЛЮЗИВНОСТИ. КНИГА 10</t>
  </si>
  <si>
    <t>Дуракова И.Б., Пугач С.П., Митрофанова Е.А. и др.</t>
  </si>
  <si>
    <t>978-5-16-017791-5</t>
  </si>
  <si>
    <t>278500.10.01</t>
  </si>
  <si>
    <t>Управление персоналом в России: теория...: Кн.2: Моногр. / Кибанов А.Я. - М.:НИЦ ИНФРА-М,2025 - 283с(О)</t>
  </si>
  <si>
    <t>УПРАВЛЕНИЕ ПЕРСОНАЛОМ В РОССИИ: ТЕОРИЯ, ОТЕЧЕСТВЕННАЯ И ЗАРУБЕЖНАЯ ПРАКТИКА: КНИГА 2</t>
  </si>
  <si>
    <t>Кибанов А.Я., Генкин Б.М., Лаврентьева И.В. и др.</t>
  </si>
  <si>
    <t>978-5-16-009810-4</t>
  </si>
  <si>
    <t>807236.02.01</t>
  </si>
  <si>
    <t>Управление персоналом гостин. предприят..: Моногр./И.С.Ключевская,2 изд.-М.:НИЦ ИНФРА-М,2024.-187 с.(о)</t>
  </si>
  <si>
    <t>УПРАВЛЕНИЕ ПЕРСОНАЛОМ ГОСТИНИЧНОГО ПРЕДПРИЯТИЯ. НОВЫЕ ПУТИ И РЕШЕНИЯ, ИЗД.2</t>
  </si>
  <si>
    <t>978-5-16-019426-4</t>
  </si>
  <si>
    <t>43.03.01, 43.03.02, 43.03.03, 43.04.01</t>
  </si>
  <si>
    <t>278300.10.01</t>
  </si>
  <si>
    <t>Управление персоналом на основе компетенций: Моногр./ О.Л.Чуланова-М.:НИЦ ИНФРА-М,2024.-122 с.(О)</t>
  </si>
  <si>
    <t>УПРАВЛЕНИЕ ПЕРСОНАЛОМ НА ОСНОВЕ КОМПЕТЕНЦИЙ</t>
  </si>
  <si>
    <t>978-5-16-009808-1</t>
  </si>
  <si>
    <t>142100.08.01</t>
  </si>
  <si>
    <t>Управление персоналом: конкурентоспособность выпускн..:Моногр./А.Я.Кибанов-М.:НИЦ ИНФРА-М,2023-228с.</t>
  </si>
  <si>
    <t>УПРАВЛЕНИЕ ПЕРСОНАЛОМ: КОНКУРЕНТОСПОСОБНОСТЬ ВЫПУСКНИКОВ ВУЗОВ НА РЫНКЕ ТРУДА</t>
  </si>
  <si>
    <t>Кибанов А. Я., Дмитриева Ю. А.</t>
  </si>
  <si>
    <t>978-5-16-004751-5</t>
  </si>
  <si>
    <t>428800.10.01</t>
  </si>
  <si>
    <t>Управление проектом: компл.подход и сист..: Моногр./О.Г.Тихомирова - НИЦ ИНФРА-М,2024 - 300с. (Науч.мысль)(О)</t>
  </si>
  <si>
    <t>УПРАВЛЕНИЕ ПРОЕКТОМ: КОМПЛЕКСНЫЙ ПОДХОД И СИСТЕМНЫЙ АНАЛИЗ</t>
  </si>
  <si>
    <t>978-5-16-006383-6</t>
  </si>
  <si>
    <t>469800.05.01</t>
  </si>
  <si>
    <t>Управление промышл.разв.в усл.отсталой технол.среды: Моногр. / В.Н.Юсим-М.:НИЦ ИНФРА-М,2024-200с.(п)</t>
  </si>
  <si>
    <t>УПРАВЛЕНИЕ ПРОМЫШЛЕННЫМ РАЗВИТИЕМ В УСЛОВИЯХ ОТСТАЛОЙ ТЕХНОЛОГИЧЕСКОЙ СРЕДЫ</t>
  </si>
  <si>
    <t>Юсим В.Н., Афанасьева М.В., Быстров А.В. и др.</t>
  </si>
  <si>
    <t>978-5-16-011789-8</t>
  </si>
  <si>
    <t>38.04.01, 38.04.02, 38.04.04, 38.06.01, 44.03.05</t>
  </si>
  <si>
    <t>677155.05.01</t>
  </si>
  <si>
    <t>Управление промышленными предпр...: Моногр. / Под ред. Логиновского О.В. - М.:НИЦ ИНФРА-М,2025 - 410с(П)</t>
  </si>
  <si>
    <t>УПРАВЛЕНИЕ ПРОМЫШЛЕННЫМИ ПРЕДПРИЯТИЯМИ: СТРАТЕГИИ, МЕХАНИЗМЫ, СИСТЕМЫ</t>
  </si>
  <si>
    <t>Логиновский О.В., Бурков В.Н., Буркова И.В. и др.</t>
  </si>
  <si>
    <t>978-5-16-013606-6</t>
  </si>
  <si>
    <t>795868.02.01</t>
  </si>
  <si>
    <t>Управление развитием высокотехнологичного промыш. компл. / Ю.В.Данейкин-М.:НИЦ ИНФРА-М,2025.-284 с.(п)</t>
  </si>
  <si>
    <t>УПРАВЛЕНИЕ РАЗВИТИЕМ ВЫСОКОТЕХНОЛОГИЧНОГО ПРОМЫШЛЕННОГО КОМПЛЕКСА</t>
  </si>
  <si>
    <t>Данейкин Ю.В.</t>
  </si>
  <si>
    <t>978-5-16-018126-4</t>
  </si>
  <si>
    <t>340400.05.01</t>
  </si>
  <si>
    <t>Управление развитием инновац.деят. в регионах России /Харин А.А. - М.:НИЦ ИНФРА-М,2022-213с.(Науч.мысль)</t>
  </si>
  <si>
    <t>УПРАВЛЕНИЕ РАЗВИТИЕМ ИННОВАЦИОННОЙ ДЕЯТЕЛЬНОСТИ В РЕГИОНАХ РОССИИ, ИЗД.2</t>
  </si>
  <si>
    <t>Харин А.А., Рождественский А.В., Коленский И.Л. и др.</t>
  </si>
  <si>
    <t>978-5-16-010736-3</t>
  </si>
  <si>
    <t>27.04.05, 38.03.01, 38.03.02, 38.04.02</t>
  </si>
  <si>
    <t>27</t>
  </si>
  <si>
    <t>788195.03.01</t>
  </si>
  <si>
    <t>Управление рисками в сфере IT: Моногр. / А.В.Щербак - М.:НИЦ ИНФРА-М,2025. - 243 с.(Науч.мысль)(о)</t>
  </si>
  <si>
    <t>УПРАВЛЕНИЕ РИСКАМИ В СФЕРЕ IT</t>
  </si>
  <si>
    <t>Щербак А.В.</t>
  </si>
  <si>
    <t>978-5-16-017972-8</t>
  </si>
  <si>
    <t>09.04.01, 09.04.02, 09.04.03, 09.04.04, 09.05.01, 09.06.01, 10.04.01, 10.05.01, 10.05.02, 10.05.03, 10.05.04, 10.05.05, 10.05.07, 10.06.01, 38.04.05, 38.06.01</t>
  </si>
  <si>
    <t>Академия управления городской средой, градостроительства и печати</t>
  </si>
  <si>
    <t>456250.04.01</t>
  </si>
  <si>
    <t>Управление рисками основ.участн.рынка долев.:Моногр./А.В.Берваль-НИЦ ИНФРА-М,2024-154(Науч.мысль)</t>
  </si>
  <si>
    <t>УПРАВЛЕНИЕ РИСКАМИ ОСНОВНЫХ УЧАСТНИКОВ РЫНКА ДОЛЕВОГО СТРОИТЕЛЬСТВА ЖИЛЬЯ</t>
  </si>
  <si>
    <t>Берваль А. В., Романова А. И.</t>
  </si>
  <si>
    <t>978-5-16-009377-2</t>
  </si>
  <si>
    <t>Казанский государственный архитектурно-строительный университет</t>
  </si>
  <si>
    <t>688822.01.01</t>
  </si>
  <si>
    <t>Управление рисками энергосервис. комп.: Моногр./Н.Д.Гуськова-М.:НИЦ ИНФРА-М,2019-138с(Науч.мысль)(О)</t>
  </si>
  <si>
    <t>УПРАВЛЕНИЕ РИСКАМИ ЭНЕРГОСЕРВИСНЫХ КОМПАНИЙ</t>
  </si>
  <si>
    <t>Гуськова Н.Д., Ульянкин О.В.</t>
  </si>
  <si>
    <t>978-5-16-014381-1</t>
  </si>
  <si>
    <t>13.03.01, 13.03.02, 13.03.03, 13.04.01, 13.04.02, 13.04.03, 38.03.01, 38.03.02, 38.04.01, 38.04.02</t>
  </si>
  <si>
    <t>686401.04.01</t>
  </si>
  <si>
    <t>Управление спорт.инфраструктурой...: Монография / В.Г.Зарубин и др. - М.:НИЦ ИНФРА-М,2023 - 107с(О)</t>
  </si>
  <si>
    <t>УПРАВЛЕНИЕ СПОРТИВНОЙ ИНФРАСТРУКТУРОЙ: ОПЫТ СОЦИОЛОГИЧЕСКОГО И ФОРМАЛЬНО-МАТЕМАТИЧЕСКОГО АНАЛИЗА</t>
  </si>
  <si>
    <t>Зарубин В.Г., Макаридина В.А., Демков Д.В.</t>
  </si>
  <si>
    <t>978-5-16-014212-8</t>
  </si>
  <si>
    <t>425350.06.01</t>
  </si>
  <si>
    <t>Управление структурными изменениями экономики: Моногр./О.С.Сухарев-М.:КУРС, НИЦ ИНФРА-М,2019-368с(П)</t>
  </si>
  <si>
    <t>УПРАВЛЕНИЕ СТРУКТУРНЫМИ ИЗМЕНЕНИЯМИ ЭКОНОМИКИ</t>
  </si>
  <si>
    <t>Сухарев О. С., Логвинов С. А.</t>
  </si>
  <si>
    <t>978-5-905554-34-6</t>
  </si>
  <si>
    <t>38.03.01, 38.03.02, 38.03.03, 38.04.01, 38.04.02, 38.04.03, 41.03.06</t>
  </si>
  <si>
    <t>644560.06.01</t>
  </si>
  <si>
    <t>Управление технологией перевоз. проц. на желез. дор.: Моногр. / Д.Ю.Левин-М:НИЦ ИНФРА-М,2023-288с(П)</t>
  </si>
  <si>
    <t>УПРАВЛЕНИЕ ТЕХНОЛОГИЕЙ ПЕРЕВОЗОЧНОГО ПРОЦЕССА НА ЖЕЛЕЗНЫХ ДОРОГАХ</t>
  </si>
  <si>
    <t>978-5-16-012377-6</t>
  </si>
  <si>
    <t>700757.05.01</t>
  </si>
  <si>
    <t>Управление транспортными потоками в городах: Моногр. / Е.А.Андреева.-М.:НИЦ ИНФРА-М,2024.-207 с.(О)</t>
  </si>
  <si>
    <t>УПРАВЛЕНИЕ ТРАНСПОРТНЫМИ ПОТОКАМИ В ГОРОДАХ</t>
  </si>
  <si>
    <t>Андреева Е.А., Бёттгер К., Белкова Е.В. и др.</t>
  </si>
  <si>
    <t>978-5-16-014845-8</t>
  </si>
  <si>
    <t>23.03.01, 23.03.02, 23.04.03, 23.05.01</t>
  </si>
  <si>
    <t>278900.08.01</t>
  </si>
  <si>
    <t>Управление трудоустр. выпускник.вузов на рынке труда: Моногр. / А.Я.Кибанов - М.:НИЦ ИНФРА-М,2025 - 250 с.(О)</t>
  </si>
  <si>
    <t>УПРАВЛЕНИЕ ТРУДОУСТРОЙСТВОМ ВЫПУСКНИКОВ ВУЗОВ НА РЫНКЕ ТРУДА</t>
  </si>
  <si>
    <t>Кибанов А.Я., Дмитриева Ю.А.</t>
  </si>
  <si>
    <t>978-5-16-009815-9</t>
  </si>
  <si>
    <t>818411.03.01</t>
  </si>
  <si>
    <t>Управление устойчивым развит. орг. и территорий: Моногр. / Под ред. Тумина В.М. - М.:НИЦ ИНФРА-М,2026 - 272 с.(п)</t>
  </si>
  <si>
    <t>УПРАВЛЕНИЕ УСТОЙЧИВЫМ РАЗВИТИЕМ ОРГАНИЗАЦИЙ И ТЕРРИТОРИЙ</t>
  </si>
  <si>
    <t>Тумин В.М., Зенкина Е.В., Иванова О.П. и др.</t>
  </si>
  <si>
    <t>978-5-16-019942-9</t>
  </si>
  <si>
    <t>38.04.01, 38.04.02, 38.04.04, 38.04.05, 38.04.09, 38.05.01, 38.06.01</t>
  </si>
  <si>
    <t>667635.02.01</t>
  </si>
  <si>
    <t>Управление хранением и обработ.информ. в образ.:Моногр./ В.П.Лозинская-М.:НИЦ ИНФРА-М, СФУ,2023-130с</t>
  </si>
  <si>
    <t>УПРАВЛЕНИЕ ХРАНЕНИЕМ И ОБРАБОТКОЙ ИНФОРМАЦИИ В ОБРАЗОВАТЕЛЬНЫХ СРЕДАХ ДИСТАНЦИОННОГО ОБУЧЕНИЯ</t>
  </si>
  <si>
    <t>978-5-16-013242-6</t>
  </si>
  <si>
    <t>09.03.02, 09.03.03, 09.04.02, 09.04.03</t>
  </si>
  <si>
    <t>804386.02.01</t>
  </si>
  <si>
    <t>Управление цифровой трансформац. бизнеса: концепции...: Моногр. / С.А.Титов.-М.:НИЦ ИНФРА-М,2025.-223 с(о)</t>
  </si>
  <si>
    <t>УПРАВЛЕНИЕ ЦИФРОВОЙ ТРАНСФОРМАЦИЕЙ БИЗНЕСА: КОНЦЕПЦИИ, КЕЙСЫ, МЕТОДЫ И ИНСТРУМЕНТЫ</t>
  </si>
  <si>
    <t>Титов С.А., Линдер Н.В., Трачук А.В. и др.</t>
  </si>
  <si>
    <t>978-5-16-018697-9</t>
  </si>
  <si>
    <t>38.04.01, 38.04.02, 38.04.03, 38.04.05, 38.05.01, 38.05.02, 38.06.01</t>
  </si>
  <si>
    <t>829304.01.01</t>
  </si>
  <si>
    <t>Управление цифровой трансформацией орг...: Моногр. / И.В.Грошев - М.:НИЦ ИНФРА-М,2025. - 170 с.(п)</t>
  </si>
  <si>
    <t>УПРАВЛЕНИЕ ЦИФРОВОЙ ТРАНСФОРМАЦИЕЙ ОРГАНИЗАЦИИ В УСЛОВИЯХ СТАНОВЛЕНИЯ ЭКОНОМИКИ ДАННЫХ</t>
  </si>
  <si>
    <t>Грошев И.В., Жерегеля А.В.</t>
  </si>
  <si>
    <t>978-5-16-019990-0</t>
  </si>
  <si>
    <t>466050.09.01</t>
  </si>
  <si>
    <t>Управление шк.: организац.и псих.-педагог.аспекты: Слов. / А.М.Моисеев - М.:Вуз.уч.,НИЦ ИНФРА-М,2025 - 476 с.(П)</t>
  </si>
  <si>
    <t>УПРАВЛЕНИЕ ШКОЛОЙ: ОРГАНИЗАЦИОННЫЕ И ПСИХОЛОГО-ПЕДАГОГИЧЕСКИЕ АСПЕКТЫ</t>
  </si>
  <si>
    <t>Моисеев А.М., Хван А.А., Капто А.Е. и др.</t>
  </si>
  <si>
    <t>978-5-9558-0368-5</t>
  </si>
  <si>
    <t>44.03.01, 44.03.02, 44.04.01, 44.04.02, 44.04.04, 44.06.01, 44.07.01</t>
  </si>
  <si>
    <t>Рекомендовано УМО в области подготовки педагогических кадров и УМО по психолого-педагогическому образованию в качестве учебного пособия для студентов вузов, обучающихся по направлениям 44.03.01 (050100) «Педагогическое образование» и 44.03.02 (050400</t>
  </si>
  <si>
    <t>739561.04.01</t>
  </si>
  <si>
    <t>Управление экономическими кризисами: Моногр. / М.А.Сажина - М.:НИЦ ИНФРА-М,2025. - 238 с.(Науч.мысль)(П)</t>
  </si>
  <si>
    <t>УПРАВЛЕНИЕ ЭКОНОМИЧЕСКИМИ КРИЗИСАМИ: ПРОБЛЕМЫ ТЕОРИИ И ПРАКТИКИ</t>
  </si>
  <si>
    <t>978-5-16-016354-3</t>
  </si>
  <si>
    <t>38.03.01, 38.04.01, 38.04.08, 38.05.01, 38.06.01</t>
  </si>
  <si>
    <t>481600.05.01</t>
  </si>
  <si>
    <t>Управление эффект.утил.попутного нефтяного газа..: Моногр. / Н.А.Алексеева - М.:НИЦ ИНФРА-М,2025 - 124 с.(о)</t>
  </si>
  <si>
    <t>УПРАВЛЕНИЕ ЭФФЕКТИВНОСТЬЮ УТИЛИЗАЦИИ ПОПУТНОГО НЕФТЯНОГО ГАЗА МЕТОДОМ РЕАЛЬНЫХ ОПЦИОНОВ: ТЕОРИЯ, МЕТОДИКА, ЭФФЕКТИВНОСТЬ</t>
  </si>
  <si>
    <t>АлексееваН.А., ИбрагимоваА.В.</t>
  </si>
  <si>
    <t>978-5-16-011708-9</t>
  </si>
  <si>
    <t>02.04.03, 38.04.01, 38.04.02, 38.06.01</t>
  </si>
  <si>
    <t>654518.05.01</t>
  </si>
  <si>
    <t>Управленческая культура в системе органов внутр.дел: Моногр. / Д.Г.Передня-М.:НИЦ ИНФРА-М,2024-103с</t>
  </si>
  <si>
    <t>УПРАВЛЕНЧЕСКАЯ КУЛЬТУРА В СИСТЕМЕ ОРГАНОВ ВНУТРЕННИХ ДЕЛ</t>
  </si>
  <si>
    <t>978-5-16-012796-5</t>
  </si>
  <si>
    <t>145050.08.01</t>
  </si>
  <si>
    <t>Управленческий анализ: вопросы теории, практики...: Моногр. / М.А.Вахрушина - М.:Вуз.уч., ИНФРА-М,2024-144с.(п)</t>
  </si>
  <si>
    <t>УПРАВЛЕНЧЕСКИЙ АНАЛИЗ: ВОПРОСЫ ТЕОРИИ, ПРАКТИКА ПРОВЕДЕНИЯ</t>
  </si>
  <si>
    <t>Вахрушина М. А., Самарина Л. Б.</t>
  </si>
  <si>
    <t>978-5-9558-0175-9</t>
  </si>
  <si>
    <t>38.03.01, 38.03.02, 38.03.04, 38.04.01, 38.04.02, 38.04.04, 38.06.01, 38.07.02</t>
  </si>
  <si>
    <t>231400.05.01</t>
  </si>
  <si>
    <t>Управленческий потенциал высших уч. заведений России  / С.Д.Резник - М.:НИЦ ИНФРА-М,2022 - 289 с.(О)</t>
  </si>
  <si>
    <t>УПРАВЛЕНЧЕСКИЙ ПОТЕНЦИАЛ ВЫСШИХ УЧЕБНЫХ ЗАВЕДЕНИЙ РОССИИ: ОЦЕНКА, ОПЫТ, ПЕРСПЕКТИВЫ</t>
  </si>
  <si>
    <t>Резник С. Д., Сазыкина О. А., Фомин Г. Б.</t>
  </si>
  <si>
    <t>978-5-16-009077-1</t>
  </si>
  <si>
    <t>791864.04.01</t>
  </si>
  <si>
    <t>Управленческий учет в контексте устойчивого развития / М.А.Вахрушина-М.:НИЦ ИНФРА-М,2024.-250 с.(О)</t>
  </si>
  <si>
    <t>УПРАВЛЕНЧЕСКИЙ УЧЕТ В КОНТЕКСТЕ УСТОЙЧИВОГО РАЗВИТИЯ: ВОЗМОЖНОСТИ И ПЕРСПЕКТИВЫ</t>
  </si>
  <si>
    <t>Вахрушина М.А., Андреева М.П., Анисимов А.С. и др.</t>
  </si>
  <si>
    <t>978-5-16-018102-8</t>
  </si>
  <si>
    <t>411350.06.01</t>
  </si>
  <si>
    <t>Управленческий учет и анализ испол. тех.оснастки: Моногр. / С.А.Калиновский - М.:НИЦ ИНФРА-М,2025 - 156 с.(о)</t>
  </si>
  <si>
    <t>УПРАВЛЕНЧЕСКИЙ УЧЕТ И АНАЛИЗ ИСПОЛЬЗОВАНИЯ ТЕХНОЛОГИЧЕСКОЙ ОСНАСТКИ</t>
  </si>
  <si>
    <t>Калиновский С. А.</t>
  </si>
  <si>
    <t>978-5-16-006454-3</t>
  </si>
  <si>
    <t>653183.03.01</t>
  </si>
  <si>
    <t>Управленческий учет и отчетность по сегментам: Монография / О.Р.Кондрашова-М.:НИЦ ИНФРА-М,2020.-236 с..-(Науч.мысль)(П 7БЦ)</t>
  </si>
  <si>
    <t>УПРАВЛЕНЧЕСКИЙ УЧЕТ И ОТЧЕТНОСТЬ ПО СЕГМЕНТАМ</t>
  </si>
  <si>
    <t>Кондрашова О.Р.</t>
  </si>
  <si>
    <t>978-5-16-012714-9</t>
  </si>
  <si>
    <t>38.03.01, 38.03.02, 38.03.06, 38.04.01, 38.04.02, 38.04.06, 38.04.08, 41.03.06</t>
  </si>
  <si>
    <t>746506.01.01</t>
  </si>
  <si>
    <t>Управленческий учет расходов промыш. предпр.: Моногр. / В.И.Осипов-М.:НИЦ ИНФРА-М,2021.-199 с.(Науч.мысль)(О)</t>
  </si>
  <si>
    <t>УПРАВЛЕНЧЕСКИЙ УЧЕТ РАСХОДОВ ПРОМЫШЛЕННОГО ПРЕДПРИЯТИЯ</t>
  </si>
  <si>
    <t>Осипов В.И.</t>
  </si>
  <si>
    <t>978-5-16-016646-9</t>
  </si>
  <si>
    <t>38.03.01, 38.03.02, 38.04.01, 38.06.01, 41.03.06</t>
  </si>
  <si>
    <t>766270.01.01</t>
  </si>
  <si>
    <t>Урбогеосистемы речных долин...: Моногр. / Под ред. Кочурова Б.И. - М.:НИЦ ИНФРА-М,2022 - 326 с(О)</t>
  </si>
  <si>
    <t>УРБОГЕОСИСТЕМЫ РЕЧНЫХ ДОЛИН. ПРИРОДНО-ЛАНДШАФТНЫЕ ОСОБЕННОСТИ, ТИПОЛОГИЯ, ЗЕМЛЕУСТРОЙСТВО</t>
  </si>
  <si>
    <t>Фирсова Н.В., Кочуров Б.И.</t>
  </si>
  <si>
    <t>978-5-16-017249-1</t>
  </si>
  <si>
    <t>05.04.02, 05.04.06, 05.06.01</t>
  </si>
  <si>
    <t>Воронежский государственный технический университет</t>
  </si>
  <si>
    <t>641265.02.01</t>
  </si>
  <si>
    <t>Урболандшафты на овражно-балочном рельефе: Моногр. / И.М.Евграфова - М.:НИЦ ИНФРА-М,2023 - 335 с.(П)</t>
  </si>
  <si>
    <t>УРБОЛАНДШАФТЫ НА ОВРАЖНО-БАЛОЧНОМ РЕЛЬЕФЕ</t>
  </si>
  <si>
    <t>Евграфова И.М.</t>
  </si>
  <si>
    <t>978-5-16-014305-7</t>
  </si>
  <si>
    <t>07.03.01</t>
  </si>
  <si>
    <t>766714.01.01</t>
  </si>
  <si>
    <t>Урболюция: Моногр. / С.В.Борзых - М.:НИЦ ИНФРА-М,2022 - 183 с.(Науч.мысль)(О)</t>
  </si>
  <si>
    <t>УРБОЛЮЦИЯ</t>
  </si>
  <si>
    <t>978-5-16-017302-3</t>
  </si>
  <si>
    <t>660920.05.01</t>
  </si>
  <si>
    <t>Урбоэкодиагностика и сбалансиров.развитие Москвы: Моногр./ И.В.Ивашкина-М.:НИЦ ИНФРА-М,2025-202с(П)</t>
  </si>
  <si>
    <t>УРБОЭКОДИАГНОСТИКА И СБАЛАНСИРОВАННОЕ РАЗВИТИЕ МОСКВЫ</t>
  </si>
  <si>
    <t>Ивашкина И.В., Кочуров Б.И.</t>
  </si>
  <si>
    <t>978-5-16-013019-4</t>
  </si>
  <si>
    <t>07.03.01, 07.03.04, 07.04.04, 08.03.01</t>
  </si>
  <si>
    <t>Научно-исследовательский и проектный институт Генерального плана города Москвы</t>
  </si>
  <si>
    <t>216100.06.01</t>
  </si>
  <si>
    <t>Урок математики в дореволюц. средней школе: Моногр./ О.А.Саввина-М.:НИЦ ИНФРА-М,2023-80с.(Науч.мысль)(О)</t>
  </si>
  <si>
    <t>УРОК МАТЕМАТИКИ В ДОРЕВОЛЮЦИОННОЙ СРЕДНЕЙ ШКОЛЕ</t>
  </si>
  <si>
    <t>Саввина О.А., Марушкина И.А.</t>
  </si>
  <si>
    <t>978-5-16-006909-8</t>
  </si>
  <si>
    <t>44.03.01, 44.03.04, 44.03.05, 44.04.04</t>
  </si>
  <si>
    <t>795989.02.01</t>
  </si>
  <si>
    <t>Успешность, работа и старение: Моногр. / Под ред. Дураковой И.Б. - М.:НИЦ ИНФРА-М,2025 - 187 с.(Науч.мысль)(п)</t>
  </si>
  <si>
    <t>УСПЕШНОСТЬ, РАБОТА И СТАРЕНИЕ: ФУНДАМЕНТАЛЬНЫЕ, ПРИКЛАДНЫЕ И НАУЧНО-ПОПУЛЯРНЫЕ АСПЕКТЫ ПРОФЕССИОНАЛЬНОГО ДОЛГОЛЕТИЯ</t>
  </si>
  <si>
    <t>Дуракова И.Б., Рахманова Т.И., Матасова Л.В. и др.</t>
  </si>
  <si>
    <t>978-5-16-018134-9</t>
  </si>
  <si>
    <t>38.04.03</t>
  </si>
  <si>
    <t>803689.08.01</t>
  </si>
  <si>
    <t>Устав внутренней службы Вооруженных Сил РФ  - 2 изд. - М.:НИЦ ИНФРА-М,2026. - 246с.(п)</t>
  </si>
  <si>
    <t>УСТАВ ВНУТРЕННЕЙ СЛУЖБЫ ВООРУЖЕННЫХ СИЛ РОССИЙСКОЙ ФЕДЕРАЦИИ, ИЗД.2</t>
  </si>
  <si>
    <t>978-5-16-020126-9</t>
  </si>
  <si>
    <t>803689.05.01</t>
  </si>
  <si>
    <t>Устав внутренней службы Вооруженных Сил РФ - М.:НИЦ ИНФРА-М,2024.-246с.(п)</t>
  </si>
  <si>
    <t>УСТАВ ВНУТРЕННЕЙ СЛУЖБЫ ВООРУЖЕННЫХ СИЛ РОССИЙСКОЙ ФЕДЕРАЦИИ</t>
  </si>
  <si>
    <t>978-5-16-018488-3</t>
  </si>
  <si>
    <t>803691.06.01</t>
  </si>
  <si>
    <t>Устав гарнизонной и караульной служб Вооруженных Сил РФ - 2 изд. - М.:НИЦ ИНФРА-М,2025. - 183 с.(п)</t>
  </si>
  <si>
    <t>УСТАВ ГАРНИЗОННОЙ И КАРАУЛЬНОЙ СЛУЖБ ВООРУЖЕННЫХ СИЛ РОССИЙСКОЙ ФЕДЕРАЦИИ, ИЗД.2</t>
  </si>
  <si>
    <t>978-5-16-020131-3</t>
  </si>
  <si>
    <t>803691.04.01</t>
  </si>
  <si>
    <t>Устав гарнизонной и караульной служб Вооруженных Сил РФ - М.:НИЦ ИНФРА-М,2023.-182 с.(п)</t>
  </si>
  <si>
    <t>УСТАВ ГАРНИЗОННОЙ И КАРАУЛЬНОЙ СЛУЖБ ВООРУЖЕННЫХ СИЛ РОССИЙСКОЙ ФЕДЕРАЦИИ</t>
  </si>
  <si>
    <t>978-5-16-018486-9</t>
  </si>
  <si>
    <t>744962.02.01</t>
  </si>
  <si>
    <t>Устав службы на морских судах - М.:НИЦ ИНФРА-М,2023 - 38 с.(О)</t>
  </si>
  <si>
    <t>УСТАВ СЛУЖБЫ НА МОРСКИХ СУДАХ</t>
  </si>
  <si>
    <t>978-5-16-016526-4</t>
  </si>
  <si>
    <t>26.02.03, 26.03.01, 26.03.02, 26.04.01, 26.04.02, 26.05.01, 26.05.02, 26.05.03, 26.05.04, 26.05.05, 26.05.06, 26.05.07</t>
  </si>
  <si>
    <t>678064.02.01</t>
  </si>
  <si>
    <t>Установки электрошлаковой металлургической тех.: Моногр. / Ю.М.Миронов-2 изд., стереотип.-М.:НИЦ ИНФРА-М,2020.-404 с..-(Науч.мысль)(П)</t>
  </si>
  <si>
    <t>УСТАНОВКИ ЭЛЕКТРОШЛАКОВОЙ МЕТАЛЛУРГИЧЕСКОЙ ТЕХНОЛОГИИ, ИЗД.2</t>
  </si>
  <si>
    <t>Миронов Ю.М.</t>
  </si>
  <si>
    <t>978-5-16-013683-7</t>
  </si>
  <si>
    <t>Чувашский государственный университет им. И.Н. Ульянова</t>
  </si>
  <si>
    <t>678064.04.01</t>
  </si>
  <si>
    <t>Установки электрошлаковой металлургической тех.: Моногр. / Ю.М.Миронов-М.:НИЦ ИНФРА-М,2023-404с(П)</t>
  </si>
  <si>
    <t>УСТАНОВКИ ЭЛЕКТРОШЛАКОВОЙ МЕТАЛЛУРГИЧЕСКОЙ ТЕХНОЛОГИИ</t>
  </si>
  <si>
    <t>859405.01.01</t>
  </si>
  <si>
    <t>Устные международные договоры: Моногр. / Ю.С.Ромашев - М.:Юр. НОРМА, НИЦ ИНФРА-М,2025. - 160 с.(п)</t>
  </si>
  <si>
    <t>УСТНЫЕ МЕЖДУНАРОДНЫЕ ДОГОВОРЫ</t>
  </si>
  <si>
    <t>978-5-00156-446-1</t>
  </si>
  <si>
    <t>818223.01.01</t>
  </si>
  <si>
    <t>Устойчивое развитие в сфере высш.образов...: Моногр. / А.А.Вахрушина - М.:НИЦ ИНФРА-М,2025.-242 с(п)</t>
  </si>
  <si>
    <t>УСТОЙЧИВОЕ РАЗВИТИЕ В СФЕРЕ ВЫСШЕГО ОБРАЗОВАНИЯ: УЧЕТНО-АНАЛИТИЧЕСКИЙ И ОБРАЗОВАТЕЛЬНЫЙ КОНТЕКСТ</t>
  </si>
  <si>
    <t>Вахрушина А.А.</t>
  </si>
  <si>
    <t>978-5-16-019566-7</t>
  </si>
  <si>
    <t>38.03.02, 38.06.01, 44.04.01, 44.04.02, 44.06.01</t>
  </si>
  <si>
    <t>819484.01.01</t>
  </si>
  <si>
    <t>Устойчивое развитие логистич. цепей грузопотоков: Моногр. / Н.А.Осинцев - М.:НИЦ ИНФРА-М,2025.-303 с.(п)</t>
  </si>
  <si>
    <t>УСТОЙЧИВОЕ РАЗВИТИЕ ЛОГИСТИЧЕСКИХ ЦЕПЕЙ ГРУЗОПОТОКОВ</t>
  </si>
  <si>
    <t>Осинцев Н.А., Рахмангулов А.Н.</t>
  </si>
  <si>
    <t>978-5-16-019680-0</t>
  </si>
  <si>
    <t>23.03.01, 23.04.01, 26.03.01, 38.03.02</t>
  </si>
  <si>
    <t>739253.03.01</t>
  </si>
  <si>
    <t>Устойчивое развитие. Энергоэффективность...: Моногр. / В.П.Ануфриев.-М.:НИЦ ИНФРА-М,2023.-201 с.(О)</t>
  </si>
  <si>
    <t>УСТОЙЧИВОЕ РАЗВИТИЕ. ЭНЕРГОЭФФЕКТИВНОСТЬ. ЗЕЛЕНАЯ ЭКОНОМИКА</t>
  </si>
  <si>
    <t>Ануфриев В.П., Гудим Ю.В., Каминов А.А.</t>
  </si>
  <si>
    <t>978-5-16-016756-5</t>
  </si>
  <si>
    <t>839036.01.01</t>
  </si>
  <si>
    <t>Устойчивое финансирование: совр. тренды и..: Моногр. / Н.А.Хуторова - М.:НИЦ ИНФРА-М,2025. - 200 с.(п)</t>
  </si>
  <si>
    <t>УСТОЙЧИВОЕ ФИНАНСИРОВАНИЕ. СОВРЕМЕННЫЕ ТРЕНДЫ И РИСКИ</t>
  </si>
  <si>
    <t>Хуторова Н.А.</t>
  </si>
  <si>
    <t>978-5-16-020543-4</t>
  </si>
  <si>
    <t>38.04.01, 38.04.02, 38.04.08, 38.04.09, 38.05.01, 38.06.01, 38.07.02</t>
  </si>
  <si>
    <t>855610.01.01</t>
  </si>
  <si>
    <t>Устойчивость в нечетко-логич. и нейро-нечетких систем: Моногр. / М.В.Бобырь - М.:НИЦ ИНФРА-М,2026  - 271 с.(о)</t>
  </si>
  <si>
    <t>УСТОЙЧИВОСТЬ В НЕЧЕТКО-ЛОГИЧЕСКИХ И НЕЙРО-НЕЧЕТКИХ СИСТЕМАХ</t>
  </si>
  <si>
    <t>Бобырь М.В.</t>
  </si>
  <si>
    <t>978-5-16-021027-8</t>
  </si>
  <si>
    <t>01.04.02, 01.04.04, 01.06.01, 27.04.03, 27.06.01</t>
  </si>
  <si>
    <t>835240.01.01</t>
  </si>
  <si>
    <t>Устойчивость экономики России и стран совр. мира: Моногр. / Л.Е.Басовский - М.:НИЦ ИНФРА-М,2025. - 171 с.(о)</t>
  </si>
  <si>
    <t>УСТОЙЧИВОСТЬ ЭКОНОМИКИ РОССИИ И СТРАН СОВРЕМЕННОГО МИРА</t>
  </si>
  <si>
    <t>978-5-16-020184-9</t>
  </si>
  <si>
    <t>38.04.01, 38.04.02, 38.04.04, 38.04.07, 38.04.08, 38.05.01, 38.06.01</t>
  </si>
  <si>
    <t>832183.01.01</t>
  </si>
  <si>
    <t>Утилизация отходов полимер. с получ. композитов для дорож. стр-ва / П.С.Беляев - М.:НИЦ ИНФРА-М,2025 - 141 с.(о)</t>
  </si>
  <si>
    <t>УТИЛИЗАЦИЯ ОТХОДОВ ПОЛИМЕРОВ С ПОЛУЧЕНИЕМ КОМПОЗИТОВ ДЛЯ ДОРОЖНОГО СТРОИТЕЛЬСТВА</t>
  </si>
  <si>
    <t>Беляев П.С., Соколов М.В., Фролов В.А.</t>
  </si>
  <si>
    <t>978-5-16-020048-4</t>
  </si>
  <si>
    <t>08.04.01, 08.05.03, 08.06.01</t>
  </si>
  <si>
    <t>806315.02.01</t>
  </si>
  <si>
    <t>Учебная мотивация: Моногр. / Под ред. Толстых Н.Н. - М.:НИЦ ИНФРА-М,2025. - 183 с.(Науч.мысль)(о)</t>
  </si>
  <si>
    <t>УЧЕБНАЯ МОТИВАЦИЯ: РАЗРАБОТКА МЕТОДИЧЕСКОГО ИНСТРУМЕНТАРИЯ</t>
  </si>
  <si>
    <t>Апасова Е.В., Кочетков Н.В., Кулагина И.Ю. и др.</t>
  </si>
  <si>
    <t>978-5-16-018761-7</t>
  </si>
  <si>
    <t>407650.13.01</t>
  </si>
  <si>
    <t>Учебно-тренир. процесс в боксе: Моногр./ В.А.Стрельников.-М.:НИЦ ИНФРА-М, СФУ,2025.-112 с.(Науч.мысль)(О)</t>
  </si>
  <si>
    <t>УЧЕБНО-ТРЕНИРОВОЧНЫЙ ПРОЦЕСС В БОКСЕ</t>
  </si>
  <si>
    <t>Стрельников В.А., Толстиков В.А., Кузьмин В.А.</t>
  </si>
  <si>
    <t>978-5-16-016123-5</t>
  </si>
  <si>
    <t>44.03.04, 44.03.05, 44.04.04, 49.04.03</t>
  </si>
  <si>
    <t>259200.10.01</t>
  </si>
  <si>
    <t>Учение о законе в русской юриспруденции: Моногр. /Е.Г.Лукьянова -М.: Юр.Норма, НИЦ ИНФРА-М, 2025.-160 с.(О)</t>
  </si>
  <si>
    <t>УЧЕНИЕ О ЗАКОНЕ В РУССКОЙ ЮРИСПРУДЕНЦИИ</t>
  </si>
  <si>
    <t>Лукьянова Е. Г.</t>
  </si>
  <si>
    <t>978-5-91768-456-7</t>
  </si>
  <si>
    <t>848916.01.01</t>
  </si>
  <si>
    <t>Учение о сущности права в конце XIX нач. XX в.: Моногр. / А.Г.Чернявский - М.:НИЦ ИНФРА-М,2025. - 308 с.(п)</t>
  </si>
  <si>
    <t>УЧЕНИЕ О СУЩНОСТИ ПРАВА В КОНЦЕ XIX-ГО НАЧАЛЕ XX ВЕКОВ</t>
  </si>
  <si>
    <t>978-5-16-020665-3</t>
  </si>
  <si>
    <t>791439.01.01</t>
  </si>
  <si>
    <t>Ученый, Ректор, Человек М.И. Кукушкин: личность в ист. СЮИ — УрГЮА — УрГЮУ: Моногр.- М.:Юр. НОРМА,2022.-224 с.(П)</t>
  </si>
  <si>
    <t>УЧЕНЫЙ, РЕКТОР, ЧЕЛОВЕК МИХАИЛ ИВАНОВИЧ КУКУШКИН: ЛИЧНОСТЬ В ИСТОРИИ СЮИ — УРГЮА — УРГЮУ</t>
  </si>
  <si>
    <t>978-5-00156-270-2</t>
  </si>
  <si>
    <t>314200.04.01</t>
  </si>
  <si>
    <t>Учет и анализ в условиях ценностно-ориентир. упр.: Моногр. / О.Г.Гордеева - М.: ИНФРА-М,2022 - 136 с.(О)</t>
  </si>
  <si>
    <t>УЧЕТ И АНАЛИЗ В УСЛОВИЯХ ЦЕННОСТНО-ОРИЕНТИРОВАННОГО УПРАВЛЕНИЯ</t>
  </si>
  <si>
    <t>Гордеева О.Г., Серебрякова Т.Ю.</t>
  </si>
  <si>
    <t>978-5-16-010365-5</t>
  </si>
  <si>
    <t>38.03.02, 38.04.08, 41.03.06</t>
  </si>
  <si>
    <t>718891.04.01</t>
  </si>
  <si>
    <t>Уязвимость ландшафтов: понятие и..: Моногр./ И.И.Кесорецких-М.:НИЦ ИНФРА-М,2024.-189 с.(Науч.мысль)(О)</t>
  </si>
  <si>
    <t>УЯЗВИМОСТЬ ЛАНДШАФТОВ: ПОНЯТИЕ И ОЦЕНКА</t>
  </si>
  <si>
    <t>Кесорецких И.И., Зотов С.И.</t>
  </si>
  <si>
    <t>978-5-16-015679-8</t>
  </si>
  <si>
    <t>05.03.06, 05.04.06, 05.06.01</t>
  </si>
  <si>
    <t>646030.07.01</t>
  </si>
  <si>
    <t>Фактический состав в механизме прав.регулир.: Моногр / В.Б.Исаков - М.:Юр.Норма, НИЦ ИНФРА-М,2026 - 128 с.(П)</t>
  </si>
  <si>
    <t>ФАКТИЧЕСКИЙ СОСТАВ В МЕХАНИЗМЕ ПРАВОВОГО РЕГУЛИРОВАНИЯ</t>
  </si>
  <si>
    <t>978-5-91768-791-9</t>
  </si>
  <si>
    <t>788381.02.01</t>
  </si>
  <si>
    <t>Факторы и инструментарий обеспеч. устойчивого развит.../ А.С.Лифшиц - М.:ИЦ РИОР, НИЦ ИНФРА-М,2026 - 200 с.(О)</t>
  </si>
  <si>
    <t>ФАКТОРЫ И ИНСТРУМЕНТАРИЙ ОБЕСПЕЧЕНИЯ УСТОЙЧИВОГО РАЗВИТИЯ ПРЕДПРИЯТИЙ МАШИНОСТРОЕНИЯ</t>
  </si>
  <si>
    <t>Лифшиц А.С.</t>
  </si>
  <si>
    <t>978-5-369-01917-7</t>
  </si>
  <si>
    <t>15.04.01, 15.06.01, 38.04.01, 38.06.01</t>
  </si>
  <si>
    <t>771231.01.01</t>
  </si>
  <si>
    <t>Факторы трансформации сис. налогообложения физических лиц / А.В.Тихонова-М.:НИЦ ИНФРА-М,2022.-170 с.(О)</t>
  </si>
  <si>
    <t>ФАКТОРЫ ТРАНСФОРМАЦИИ СИСТЕМЫ НАЛОГООБЛОЖЕНИЯ ФИЗИЧЕСКИХ ЛИЦ</t>
  </si>
  <si>
    <t>978-5-16-017533-1</t>
  </si>
  <si>
    <t>806920.01.01</t>
  </si>
  <si>
    <t>Федерализм в российской государственной парадигме...: Моногр. / Р.С.Марков-М.:НИЦ ИНФРА-М,2023.-287 с.(п)</t>
  </si>
  <si>
    <t>ФЕДЕРАЛИЗМ В РОССИЙСКОЙ ГОСУДАРСТВЕННОЙ ПАРАДИГМЕ: ИСТОРИКО-ПРАВОВОЕ ИССЛЕДОВАНИЕ</t>
  </si>
  <si>
    <t>Марков Р.С., Жуковская Н.Ю.</t>
  </si>
  <si>
    <t>978-5-16-018798-3</t>
  </si>
  <si>
    <t>40.04.01, 40.05.01, 40.06.01, 41.04.02, 41.06.01, 41.07.01, 46.04.01, 46.06.01</t>
  </si>
  <si>
    <t>440950.03.01</t>
  </si>
  <si>
    <t>Феномен  референции: Монография / В.Д.Голиков-М.:НИЦ ИНФРА-М,2016.-204 с..-(Научная мысль)(о)</t>
  </si>
  <si>
    <t>ФЕНОМЕН  РЕФЕРЕНЦИИ</t>
  </si>
  <si>
    <t>Голиков В.Д., Касимова Э.Р.</t>
  </si>
  <si>
    <t>978-5-16-006786-5</t>
  </si>
  <si>
    <t>835347.01.01</t>
  </si>
  <si>
    <t>Феномен преподавателя высшего военно-учеб. завед..: Моногр. / А.Ю.Кийко. - М.:НИЦ ИНФРА-М,2025 - 165 с.(о)</t>
  </si>
  <si>
    <t>ФЕНОМЕН ПРЕПОДАВАТЕЛЯ ВЫСШЕГО ВОЕННО-УЧЕБНОГО ЗАВЕДЕНИЯ И СОДЕРЖАНИЕ ЕГО ПРОФЕССИОНАЛЬНОЙ ДЕЯТЕЛЬНОСТИ</t>
  </si>
  <si>
    <t>Кийко А.Ю., Анисимов В.Г., Зленко А.Л. и др.</t>
  </si>
  <si>
    <t>978-5-16-020888-6</t>
  </si>
  <si>
    <t>827176.03.01</t>
  </si>
  <si>
    <t>Феномен регионализма в условиях совр. вызовов / А.Я.Капустин - М.:Юр. НОРМА, НИЦ ИНФРА-М,2025 - 240 с.(п)</t>
  </si>
  <si>
    <t>ФЕНОМЕН РЕГИОНАЛИЗМА В УСЛОВИЯХ СОВРЕМЕННЫХ ВЫЗОВОВ</t>
  </si>
  <si>
    <t>978-5-00156-370-9</t>
  </si>
  <si>
    <t>40.04.01, 40.05.01, 40.05.02, 40.05.03, 40.05.04, 40.06.01, 41.04.05</t>
  </si>
  <si>
    <t>693931.04.01</t>
  </si>
  <si>
    <t>Феномен этнических диаспор: Моногр. / В.Д.Попков - М.:НИЦ ИНФРА-М,2024 - 276 с.(Науч.мысль)(о)</t>
  </si>
  <si>
    <t>ФЕНОМЕН ЭТНИЧЕСКИХ ДИАСПОР</t>
  </si>
  <si>
    <t>978-5-16-014560-0</t>
  </si>
  <si>
    <t>39.04.01, 39.06.01, 41.04.04, 41.06.01, 46.04.01, 46.04.03, 46.06.01</t>
  </si>
  <si>
    <t>705909.03.01</t>
  </si>
  <si>
    <t>Феноменология менеджмента в России: Моногр. / А.Д.Шадрин - М.:ИЦ РИОР, НИЦ ИНФРА-М,2025. - 276 с.(О)</t>
  </si>
  <si>
    <t>ФЕНОМЕНОЛОГИЯ МЕНЕДЖМЕНТА В РОССИИ</t>
  </si>
  <si>
    <t>Шадрин А.Д.</t>
  </si>
  <si>
    <t>978-5-369-01808-8</t>
  </si>
  <si>
    <t>222600.07.01</t>
  </si>
  <si>
    <t>Физика в вузе. Современный уч. по механике: Моногр. /С.И.Кузнецов-М.:Вуз. уч., НИЦ ИНФРА-М,2024.-264 с.(о)</t>
  </si>
  <si>
    <t>ФИЗИКА В ВУЗЕ. СОВРЕМЕННЫЙ УЧЕБНИК ПО МЕХАНИКЕ</t>
  </si>
  <si>
    <t>Кузнецов С. И.</t>
  </si>
  <si>
    <t>978-5-9558-0324-1</t>
  </si>
  <si>
    <t>01.03.03, 01.04.03, 02.03.03, 03.03.02, 03.03.03, 03.04.02, 04.04.02</t>
  </si>
  <si>
    <t>838289.01.01</t>
  </si>
  <si>
    <t>Физико-химич. обработка техногенных и сточных вод...: Моногр. / Б.С.Ксенофонтов - М.:НИЦ ИНФРА-М,2025 - 288 с.(п)</t>
  </si>
  <si>
    <t>ФИЗИКО-ХИМИЧЕСКАЯ ОБРАБОТКА ТЕХНОГЕННЫХ И СТОЧНЫХ ВОД С ИСПОЛЬЗОВАНИЕМ КОМБИНИРОВАННОЙ ФЛОТАЦИОННОЙ ТЕХНИКИ</t>
  </si>
  <si>
    <t>978-5-16-020218-1</t>
  </si>
  <si>
    <t>04.04.01, 04.06.01, 20.04.01, 20.04.02, 20.06.01</t>
  </si>
  <si>
    <t>777135.01.01</t>
  </si>
  <si>
    <t>Физиологические аспекты адаптации с/х животных к стрессорам / А.Ю.Ковтуненко-М.:НИЦ ИНФРА-М,2022.-181 с.(О)</t>
  </si>
  <si>
    <t>ФИЗИОЛОГИЧЕСКИЕ АСПЕКТЫ АДАПТАЦИИ СЕЛЬСКОХОЗЯЙСТВЕННЫХ ЖИВОТНЫХ К СТРЕССОРАМ</t>
  </si>
  <si>
    <t>Ковтуненко А.Ю., Бусловская Л.К.</t>
  </si>
  <si>
    <t>978-5-16-017688-8</t>
  </si>
  <si>
    <t>36.03.01, 36.04.02, 36.05.01, 36.06.01</t>
  </si>
  <si>
    <t>670460.02.01</t>
  </si>
  <si>
    <t>Физические св-ва гор. пород запад. части Сибир. платф.: Моногр. / А.М.Капитонов-М:НИЦ ИНФРА-М,СФУ,2020-424с</t>
  </si>
  <si>
    <t>ФИЗИЧЕСКИЕ СВОЙСТВА ГОРНЫХ ПОРОД ЗАПАДНОЙ ЧАСТИ СИБИРСКОЙ ПЛАТФОРМЫ</t>
  </si>
  <si>
    <t>Капитонов А.М., Васильев В.Г.</t>
  </si>
  <si>
    <t>978-5-16-013365-2</t>
  </si>
  <si>
    <t>178950.06.01</t>
  </si>
  <si>
    <t>Фил - и - Соф: Беседы о вечном и бренном: Моногр. / А.А.Лагунов - М:НИЦ Инфра-М, 2025 - 184 с.(Науч.мысль) (о)</t>
  </si>
  <si>
    <t>ФИЛ - И - СОФ: БЕСЕДЫ О ВЕЧНОМ И БРЕННОМ</t>
  </si>
  <si>
    <t>Лагунов А. А., Нижников С. А.</t>
  </si>
  <si>
    <t>978-5-16-005435-3</t>
  </si>
  <si>
    <t>419850.06.01</t>
  </si>
  <si>
    <t>Филогенетическая теория общей патологии. Патогенез метабол..: Моногр./В.Н.Титов - ИНФРА-М, 2024-223с (о)</t>
  </si>
  <si>
    <t>ФИЛОГЕНЕТИЧЕСКАЯ ТЕОРИЯ ОБЩЕЙ ПАТОЛОГИИ. ПАТОГЕНЕЗ МЕТАБОЛИЧЕСКИХ ПАНДЕМИЙ. САХАРНЫЙ ДИАБЕТ</t>
  </si>
  <si>
    <t>Титов В. Н.</t>
  </si>
  <si>
    <t>978-5-16-006539-7</t>
  </si>
  <si>
    <t>31.05.01, 31.06.01, 31.08.07</t>
  </si>
  <si>
    <t>210100.07.01</t>
  </si>
  <si>
    <t>Филогенетическая теория общей патологии...:Моногр. / В.Н.Титов-М:НИЦ ИНФРА-М,2023-238с(Научн. мысль)</t>
  </si>
  <si>
    <t>ФИЛОГЕНЕТИЧЕСКАЯ ТЕОРИЯ ОБЩЕЙ ПАТОЛОГИИ. ПАТОГЕНЕЗ БОЛЕЗНЕЙ ЦИВИЛИЗАЦИИ. АТЕРОСКЛЕРОЗ</t>
  </si>
  <si>
    <t>978-5-16-006837-4</t>
  </si>
  <si>
    <t>30.05.02, 30.06.01, 31.05.01, 31.06.01, 31.07.01, 31.08.36</t>
  </si>
  <si>
    <t>453250.06.01</t>
  </si>
  <si>
    <t>Филогенетическая теория общей патологии..: Моногр. / В.Н.Титов - М.:ИНФРА-М,2026 - 204 с.-(Научн.мысль) (о)</t>
  </si>
  <si>
    <t>ФИЛОГЕНЕТИЧЕСКАЯ ТЕОРИЯ ОБЩЕЙ ПАТОЛОГИИ. ПАТОГЕНЕЗ МЕТАБОЛИЧЕСКИХ ПАНДЕМИЙ. АРТЕРИАЛЬНАЯ ГИПЕРТОНИЯ</t>
  </si>
  <si>
    <t>978-5-16-009287-4</t>
  </si>
  <si>
    <t>31.05.01, 31.06.01, 31.07.01, 31.08.07, 31.08.36, 34.03.01</t>
  </si>
  <si>
    <t>674727.03.01</t>
  </si>
  <si>
    <t>Философия воспитания: Моногр. / И.А.Булгакова - М.:НИЦ ИНФРА-М,2026. - 221 с.(Науч.мысль)(П)</t>
  </si>
  <si>
    <t>ФИЛОСОФИЯ ВОСПИТАНИЯ</t>
  </si>
  <si>
    <t>978-5-16-017514-0</t>
  </si>
  <si>
    <t>44.04.02, 44.04.04, 44.05.01, 44.06.01</t>
  </si>
  <si>
    <t>433900.05.01</t>
  </si>
  <si>
    <t>Философия и культура Латинской Америки: Моногр. / М.С.Колесов-2 изд.-М.:Вуз.уч., НИЦ ИНФРА-М,2025.-160 с.(о)</t>
  </si>
  <si>
    <t>ФИЛОСОФИЯ И КУЛЬТУРА ЛАТИНСКОЙ АМЕРИКИ, ИЗД.2</t>
  </si>
  <si>
    <t>978-5-9558-0464-4</t>
  </si>
  <si>
    <t>47.04.01, 51.04.01</t>
  </si>
  <si>
    <t>337600.05.01</t>
  </si>
  <si>
    <t>Философия истории России/М.С.Колесов - 2 изд.-М.:Вузовский учебник, НИЦ ИНФРА-М,2024.-238 с.(Научная книга)(О)</t>
  </si>
  <si>
    <t>ФИЛОСОФИЯ ИСТОРИИ РОССИИ, ИЗД.2</t>
  </si>
  <si>
    <t>КолесовМ.С.</t>
  </si>
  <si>
    <t>978-5-9558-0421-7</t>
  </si>
  <si>
    <t>40.03.01, 44.03.01, 44.03.05, 46.04.01, 47.04.01</t>
  </si>
  <si>
    <t>405650.08.01</t>
  </si>
  <si>
    <t>Философия образования: иностранный яз.: Моногр./В.И.Дубинский - НИЦ ИНФРА-М, 2023-90с.(Науч. мысль) (о)</t>
  </si>
  <si>
    <t>ФИЛОСОФИЯ ОБРАЗОВАНИЯ: ИНОСТРАННЫЙ ЯЗЫК</t>
  </si>
  <si>
    <t>Дубинский В. И.</t>
  </si>
  <si>
    <t>978-5-16-006278-5</t>
  </si>
  <si>
    <t>44.04.02</t>
  </si>
  <si>
    <t>654642.09.01</t>
  </si>
  <si>
    <t>Философия политики и права: Энц. сл. / Под ред. Никандрова А.В. - М.:НИЦ ИНФРА-М,2025 - 551с.(Б-ка сл. ИНФРА-М)(П)</t>
  </si>
  <si>
    <t>ФИЛОСОФИЯ ПОЛИТИКИ И ПРАВА: ЭНЦИКЛОПЕДИЧЕСКИЙ СЛОВАРЬ</t>
  </si>
  <si>
    <t>Аласания К.Ю., Аношкин П.П., Антонова В.Н. и др.</t>
  </si>
  <si>
    <t>978-5-16-012922-8</t>
  </si>
  <si>
    <t>41.03.06, 41.04.04, 47.04.01</t>
  </si>
  <si>
    <t>397100.07.01</t>
  </si>
  <si>
    <t>Философия права в России: из опыта XX в.: Моногр. / В.Г.Графский - М.:Юр.Норма, НИЦ ИНФРА-М, 2025 - 240 с.(П)</t>
  </si>
  <si>
    <t>ФИЛОСОФИЯ ПРАВА В РОССИИ: ИЗ ОПЫТА XX ВЕКА</t>
  </si>
  <si>
    <t>Графский В.Г., Борщ И.В., Малахов В.П. и др.</t>
  </si>
  <si>
    <t>978-5-91768-658-5</t>
  </si>
  <si>
    <t>253300.12.01</t>
  </si>
  <si>
    <t>Философия права и юр. герменевтика: Моногр. / И.П.Малинова, - 2 изд. - М.:Юр.НОРМА,НИЦ ИНФРА-М,2025 - 160 с.(п)</t>
  </si>
  <si>
    <t>ФИЛОСОФИЯ ПРАВА И ЮРИДИЧЕСКАЯ ГЕРМЕНЕВТИКА, ИЗД.2</t>
  </si>
  <si>
    <t>Малинова И.П.</t>
  </si>
  <si>
    <t>978-5-00156-293-1</t>
  </si>
  <si>
    <t>38.04.09, 40.04.01</t>
  </si>
  <si>
    <t>253300.10.01</t>
  </si>
  <si>
    <t>Философия права и юридич. герменевтика: Моногр. / И.П.Малинова - М.:Юр.Норма, НИЦ ИНФРА-М,2023-176с(О)</t>
  </si>
  <si>
    <t>ФИЛОСОФИЯ ПРАВА И ЮРИДИЧЕСКАЯ ГЕРМЕНЕВТИКА</t>
  </si>
  <si>
    <t>978-5-91768-449-9</t>
  </si>
  <si>
    <t>674319.03.01</t>
  </si>
  <si>
    <t>Философия права Рудольфа Штаммлера: Моногр. / Н.А.Шавеко - М.:НИЦ ИНФРА-М,2021-177с(Науч.мысль)(О)</t>
  </si>
  <si>
    <t>ФИЛОСОФИЯ ПРАВА РУДОЛЬФА ШТАММЛЕРА</t>
  </si>
  <si>
    <t>978-5-16-012587-9</t>
  </si>
  <si>
    <t>486100.04.01</t>
  </si>
  <si>
    <t>Философия права: конц. основы препод. в юр.вузах: Моногр. / Л.А.Демина - М.:Юр.Норма, НИЦ ИНФРА-М, 2022-224(о)</t>
  </si>
  <si>
    <t>ФИЛОСОФИЯ ПРАВА: КОНЦЕПТУАЛЬНЫЕ ОСНОВЫ ПРЕПОДАВАНИЯ В ЮРИДИЧЕСКИХ ВУЗАХ</t>
  </si>
  <si>
    <t>Демина Л.А.</t>
  </si>
  <si>
    <t>978-5-91768-719-3</t>
  </si>
  <si>
    <t>708233.01.01</t>
  </si>
  <si>
    <t>Философия созидания (введение к теории): Моногр. /М.А.Петров-М.:НИЦ ИНФРА-М,2019-195с(Науч.мысль)(О)</t>
  </si>
  <si>
    <t>ФИЛОСОФИЯ СОЗИДАНИЯ (ВВЕДЕНИЕ К ТЕОРИИ)</t>
  </si>
  <si>
    <t>Петров М.А.</t>
  </si>
  <si>
    <t>978-5-16-015237-0</t>
  </si>
  <si>
    <t>672658.01.01</t>
  </si>
  <si>
    <t>Философия социального упр. в техногенном обществе:Моногр./ О.А.Беленкова-М.:НИЦ ИНФРА-М,2018-113с</t>
  </si>
  <si>
    <t>ФИЛОСОФИЯ СОЦИАЛЬНОГО УПРАВЛЕНИЯ В ТЕХНОГЕННОМ ОБЩЕСТВЕ</t>
  </si>
  <si>
    <t>Беленкова О.А., Вежнина Е.В.</t>
  </si>
  <si>
    <t>Научная мысль - УфимГНТУ</t>
  </si>
  <si>
    <t>978-5-16-013724-7</t>
  </si>
  <si>
    <t>435100.04.01</t>
  </si>
  <si>
    <t>Философия социологии: Моногр. / Л.А.Петрушенко  -М.:НИЦ ИНФРА-М,2024 - 279 с.(Науч.мысль)(П)</t>
  </si>
  <si>
    <t>ФИЛОСОФИЯ СОЦИОЛОГИИ</t>
  </si>
  <si>
    <t>978-5-16-011315-9</t>
  </si>
  <si>
    <t>01.03.02, 02.03.02, 02.03.03, 03.03.02, 04.03.02, 05.03.03, 05.03.04, 05.03.06, 06.03.02, 19.03.04, 29.03.02, 37.03.01, 38.03.01, 38.03.02, 38.03.03, 38.03.04, 39.03.02, 39.03.03, 41.03.06, 42.03.01, 44.03.01, 44.03.05, 45.03.04, 51.03.01, 51.03.02, 51.03.03, 51.03.04, 51.03.06, 52.03.05</t>
  </si>
  <si>
    <t>833289.03.01</t>
  </si>
  <si>
    <t>Философия судебного права: Моногр. /Х.И.Гаджиев-М.:Юр. НОРМА,2025.-472 с.(п)</t>
  </si>
  <si>
    <t>ФИЛОСОФИЯ СУДЕБНОГО ПРАВА</t>
  </si>
  <si>
    <t>Гаджиев Х.И.</t>
  </si>
  <si>
    <t>978-5-00156-376-1</t>
  </si>
  <si>
    <t>40.05.01, 40.05.02, 40.05.03, 40.05.04</t>
  </si>
  <si>
    <t>745619.05.01</t>
  </si>
  <si>
    <t>Философия трудового права: Моногр. / В.М.Лебедев - М.:Юр.Норма, НИЦ ИНФРА-М,2025 - 128 с.(П)</t>
  </si>
  <si>
    <t>ФИЛОСОФИЯ ТРУДОВОГО ПРАВА</t>
  </si>
  <si>
    <t>978-5-00156-098-2</t>
  </si>
  <si>
    <t>698436.04.01</t>
  </si>
  <si>
    <t>Философия уголовного права: постановка вопр. / С.А.Бочкарев-М.:Юр.Норма, НИЦ Инфра-М, 2024.-424с.(П)</t>
  </si>
  <si>
    <t>ФИЛОСОФИЯ УГОЛОВНОГО ПРАВА: ПОСТАНОВКА ВОПРОСА</t>
  </si>
  <si>
    <t>Бочкарев С.А.</t>
  </si>
  <si>
    <t>978-5-91768-984-5</t>
  </si>
  <si>
    <t>40.04.01, 40.05.01, 40.05.02, 40.05.03, 40.06.01, 47.04.01</t>
  </si>
  <si>
    <t>726641.04.01</t>
  </si>
  <si>
    <t>Философия физики: к новым принципам науч. знания: Моногр. / И.А.Карпенко - М.:НИЦ ИНФРА-М,2024-203 с.(о)</t>
  </si>
  <si>
    <t>ФИЛОСОФИЯ ФИЗИКИ: К НОВЫМ ПРИНЦИПАМ НАУЧНОГО ЗНАНИЯ</t>
  </si>
  <si>
    <t>Карпенко И.А.</t>
  </si>
  <si>
    <t>978-5-16-016424-3</t>
  </si>
  <si>
    <t>00.05.11, 46.03.01, 47.03.02</t>
  </si>
  <si>
    <t>210800.06.01</t>
  </si>
  <si>
    <t>Философия финансового рынка: Моногр. / В.Д.Миловидов - М.:Магистр,2022 - 272 с.(П)</t>
  </si>
  <si>
    <t>ФИЛОСОФИЯ ФИНАНСОВОГО РЫНКА</t>
  </si>
  <si>
    <t>Миловидов В. Д.</t>
  </si>
  <si>
    <t>978-5-9776-0277-8</t>
  </si>
  <si>
    <t>177550.05.98</t>
  </si>
  <si>
    <t>Философия экономики в России..: Моногр. / А.М.Орехов - М.:НИЦ ИНФРА-М,2016.-140 с.-(Науч.мысль)(о)</t>
  </si>
  <si>
    <t>ФИЛОСОФИЯ ЭКОНОМИКИ В РОССИИ: РОЖДЕНИЕ ТРАДИЦИИ</t>
  </si>
  <si>
    <t>978-5-16-005478-0</t>
  </si>
  <si>
    <t>38.03.01, 38.04.01, 40.03.01, 44.03.01, 44.03.05, 47.03.01, 47.04.01</t>
  </si>
  <si>
    <t>177550.09.01</t>
  </si>
  <si>
    <t>Философия экономики в России: Моногр. / А.М.Орехов, - 2 изд. - М.:НИЦ ИНФРА-М,2025. - 154 с.(О)</t>
  </si>
  <si>
    <t>ФИЛОСОФИЯ ЭКОНОМИКИ В РОССИИ: РОЖДЕНИЕ ТРАДИЦИИ, ИЗД.2</t>
  </si>
  <si>
    <t>978-5-16-013129-0</t>
  </si>
  <si>
    <t>449550.07.01</t>
  </si>
  <si>
    <t>Философия. Язык. Культура: Моногр./ Д.А.Силичев - М:Вуз. уч.: ИНФРА-М,2023-311с. (Науч. кн.) (о)</t>
  </si>
  <si>
    <t>ФИЛОСОФИЯ. ЯЗЫК. КУЛЬТУРА</t>
  </si>
  <si>
    <t>Силичев Д. А.</t>
  </si>
  <si>
    <t>978-5-9558-0331-9</t>
  </si>
  <si>
    <t>843150.01.01</t>
  </si>
  <si>
    <t>Философские идеи в мир. лит. (ист.-философ. очерки): Моногр. / П.А.Горохов - М.:НИЦ ИНФРА-М,2025. - 353 с.(п)</t>
  </si>
  <si>
    <t>ФИЛОСОФСКИЕ ИДЕИ В МИРОВОЙ ЛИТЕРАТУРЕ (ИСТОРИКО-ФИЛОСОФСКИЕ ОЧЕРКИ)</t>
  </si>
  <si>
    <t>978-5-16-020532-8</t>
  </si>
  <si>
    <t>41.04.04, 41.06.01, 45.04.01, 45.06.01, 47.04.01, 47.06.01</t>
  </si>
  <si>
    <t>693937.07.01</t>
  </si>
  <si>
    <t>Философские основания полит.-прав.исслед.: Моногр. / Д.А.Керимов - М.:Юр.Норма, НИЦ ИНФРА-М,2026 - 336 с.(П)</t>
  </si>
  <si>
    <t>ФИЛОСОФСКИЕ ОСНОВАНИЯ ПОЛИТИКО-ПРАВОВЫХ ИССЛЕДОВАНИЙ</t>
  </si>
  <si>
    <t>978-5-91768-969-2</t>
  </si>
  <si>
    <t>40.03.01, 40.04.01, 40.05.01, 40.05.02, 40.05.03, 41.03.04, 41.03.06, 44.03.05</t>
  </si>
  <si>
    <t>740610.03.01</t>
  </si>
  <si>
    <t>Философские основы духовности: Моногр. / Е.В.Аралова.-М.:НИЦ ИНФРА-М,2022.-262 с.(Науч.мысль)(О)</t>
  </si>
  <si>
    <t>ФИЛОСОФСКИЕ ОСНОВЫ ДУХОВНОСТИ</t>
  </si>
  <si>
    <t>Аралова Е.В., Кащенко Т.Л., Положенцева И.В. и др.</t>
  </si>
  <si>
    <t>978-5-16-016357-4</t>
  </si>
  <si>
    <t>693934.06.01</t>
  </si>
  <si>
    <t>Философские проблемы права: Моногр. / Д.А.Керимов - М.:Юр.Норма,НИЦ ИНФРА-М,2026 - 472 с.(П)</t>
  </si>
  <si>
    <t>ФИЛОСОФСКИЕ ПРОБЛЕМЫ ПРАВА</t>
  </si>
  <si>
    <t>978-5-91768-970-8</t>
  </si>
  <si>
    <t>668662.03.01</t>
  </si>
  <si>
    <t>Философский анализ станд. естеств. рос. и заруб. обществ: Моногр. / Р.Н.Галиахметов-М:НИЦ ИНФРА-М, СФУ,2023-115с</t>
  </si>
  <si>
    <t>ФИЛОСОФСКИЙ АНАЛИЗ СТАНДАРТОВ ЕСТЕСТВЕННОСТИ РОССИЙСКИХ И ЗАРУБЕЖНЫХ ОБЩЕСТВ</t>
  </si>
  <si>
    <t>Галиахметов Р.Н., Дуреева Н.С.</t>
  </si>
  <si>
    <t>978-5-16-013277-8</t>
  </si>
  <si>
    <t>843207.01.01</t>
  </si>
  <si>
    <t>Философский вызов и онтолитич. эффект искусств. интеллекта / Д.С.Быльева - М.:НИЦ ИНФРА-М,2025. - 240 с(о)</t>
  </si>
  <si>
    <t>ФИЛОСОФСКИЙ ВЫЗОВ И ОНТОЛИТИЧЕСКИЙ ЭФФЕКТ ИСКУССТВЕННОГО ИНТЕЛЛЕКТА</t>
  </si>
  <si>
    <t>Быльева Д.С.</t>
  </si>
  <si>
    <t>978-5-16-020534-2</t>
  </si>
  <si>
    <t>729680.05.01</t>
  </si>
  <si>
    <t>Философско-антропологический проект российского...: Моногр. / О.Д.Маслобоева - М.:ИНФРА-М,2025-390с.(О)</t>
  </si>
  <si>
    <t>ФИЛОСОФСКО-АНТРОПОЛОГИЧЕСКИЙ ПРОЕКТ РОССИЙСКОГО ОРГАНИЦИЗМА И РУССКОГО КОСМИЗМА В КОНТЕКСТЕ СОВРЕМЕННОЙ ИСТОРИЧЕСКОЙ СИТУАЦИИ</t>
  </si>
  <si>
    <t>Маслобоева О.Д.</t>
  </si>
  <si>
    <t>978-5-16-015932-4</t>
  </si>
  <si>
    <t>657623.07.01</t>
  </si>
  <si>
    <t>Философско-мистические традиции мира: Моногр. / Н.С.Жиртуева - 2 изд.- М.:Вуз.уч., НИЦ ИНФРА-М,2024-274с(О)</t>
  </si>
  <si>
    <t>ФИЛОСОФСКО-МИСТИЧЕСКИЕ ТРАДИЦИИ МИРА, ИЗД.2</t>
  </si>
  <si>
    <t>Жиртуева Н.С.</t>
  </si>
  <si>
    <t>Научная книга (Севастопольский государственный университет)</t>
  </si>
  <si>
    <t>978-5-9558-0611-2</t>
  </si>
  <si>
    <t>37.03.01, 40.03.01, 44.03.01, 44.03.05, 46.03.01, 47.03.01, 47.03.03, 47.04.01, 47.04.03, 48.03.01, 51.03.01, 51.03.04, 54.03.04</t>
  </si>
  <si>
    <t>657623.02.01</t>
  </si>
  <si>
    <t>Философско-мистические традиции мира: Моногр. / Н.С.Жиртуева - М.:Вуз.уч., НИЦ ИНФРА-М,2018- 274с(О)</t>
  </si>
  <si>
    <t>ФИЛОСОФСКО-МИСТИЧЕСКИЕ ТРАДИЦИИ МИРА</t>
  </si>
  <si>
    <t>978-5-9558-0574-0</t>
  </si>
  <si>
    <t>827862.04.01</t>
  </si>
  <si>
    <t>Философско-прав. познание...: Моногр. / Под ред. Сальникова В.П. - 2 изд. - М.:НИЦ ИНФРА-М,2026 - 418 с.(п)</t>
  </si>
  <si>
    <t>ФИЛОСОФСКО-ПРАВОВОЕ ПОЗНАНИЕ: АКТУАЛЬНЫЕ ПРОБЛЕМЫ, ИЗД.2</t>
  </si>
  <si>
    <t>978-5-16-020017-0</t>
  </si>
  <si>
    <t>837456.01.01</t>
  </si>
  <si>
    <t>Философско-правовые основания природы межвластных..: Моногр. / А.Г.Чернявский - М.:НИЦ ИНФРА-М,2025. - 311 с.(п)</t>
  </si>
  <si>
    <t>ФИЛОСОФСКО-ПРАВОВЫЕ ОСНОВАНИЯ ПРИРОДЫ МЕЖВЛАСТНЫХ И ВЛАСТНЫХ ОТНОШЕНИЙ</t>
  </si>
  <si>
    <t>Чернявский А.Г., Синяева Н.А.</t>
  </si>
  <si>
    <t>978-5-16-020245-7</t>
  </si>
  <si>
    <t>287400.07.01</t>
  </si>
  <si>
    <t>Философско-социологические аспекты формир...: Моногр./Е.А.Соколков - М:Вуз. уч.:ИНФРА-М,2024-120с. (п)</t>
  </si>
  <si>
    <t>ФИЛОСОФСКО-СОЦИОЛОГИЧЕСКИЕ АСПЕКТЫ ФОРМИРОВАНИЯ ЛИЧНОСТИ СПЕЦИАЛИСТА В ВЫСШЕЙ ВОЕННОЙ ШКОЛЕ</t>
  </si>
  <si>
    <t>Соколков Е. А.</t>
  </si>
  <si>
    <t>978-5-9558-0378-4</t>
  </si>
  <si>
    <t>37.03.01, 37.04.01, 39.03.01, 39.03.03, 39.04.01, 39.04.03, 44.03.02, 44.04.02, 47.04.01</t>
  </si>
  <si>
    <t>839693.01.01</t>
  </si>
  <si>
    <t>Финансирование торговли в условиях цифр. трансформ. / И.Е.Покаместов. - М.:НИЦ ИНФРА-М,2025. - 172 с.(о)</t>
  </si>
  <si>
    <t>ФИНАНСИРОВАНИЕ ТОРГОВЛИ В УСЛОВИЯХ ЦИФРОВОЙ ТРАНСФОРМАЦИИ</t>
  </si>
  <si>
    <t>Покаместов И.Е., Фролова В.Б., Леднев М.В. и др.</t>
  </si>
  <si>
    <t>978-5-16-020768-1</t>
  </si>
  <si>
    <t>38.04.01, 38.04.06, 38.04.08, 38.06.01</t>
  </si>
  <si>
    <t>281100.02.01</t>
  </si>
  <si>
    <t>Финансовая архитектура компаний. Сравнительные исслед...:Моногр./И.В.Ивашковская-М:ИНФРА-М,2015-238с (п)</t>
  </si>
  <si>
    <t>ФИНАНСОВАЯ АРХИТЕКТУРА КОМПАНИЙ. СРАВНИТЕЛЬНЫЕ ИССЛЕДОВАНИЯ НА РАЗВИТЫХ И РАЗВИВАЮЩИХСЯ РЫНКАХ</t>
  </si>
  <si>
    <t>Ивашковская И. В., Степанова А. Н., Кокорева М. С., Ивашковская И. В.</t>
  </si>
  <si>
    <t>978-5-16-010117-0</t>
  </si>
  <si>
    <t>732745.06.01</t>
  </si>
  <si>
    <t>Финансовая грамотность и устойчивое развит..: Моногр. / Н.А.Поветкина - М.:Юр.Норма, НИЦ ИНФРА-М,2026-104с(О)</t>
  </si>
  <si>
    <t>ФИНАНСОВАЯ ГРАМОТНОСТЬ И УСТОЙЧИВОЕ РАЗВИТИЕ В ЦИФРОВУЮ ЭПОХУ (ПРАВОВОЕ  ИЗМЕРЕНИЕ)</t>
  </si>
  <si>
    <t>Поветкина Н.А., Кудряшова Е.В.</t>
  </si>
  <si>
    <t>978-5-00156-055-5</t>
  </si>
  <si>
    <t>38.04.01, 38.04.08, 38.04.09, 38.06.01</t>
  </si>
  <si>
    <t>813717.01.01</t>
  </si>
  <si>
    <t>Финансовая грамотность рос. студенчества: ключевое условие..: Моногр. / С.Д.Резник-М.:НИЦ ИНФРА-М,2024-331 с.(п)</t>
  </si>
  <si>
    <t>ФИНАНСОВАЯ ГРАМОТНОСТЬ РОССИЙСКОГО СТУДЕНЧЕСТВА: КЛЮЧЕВОЕ УСЛОВИЕ ОБЕСПЕЧЕНИЯ ЭКОНОМИЧЕСКОЙ САМОСТОЯТЕЛЬНОСТИ</t>
  </si>
  <si>
    <t>Резник С.Д., Черниковская М.В., Сазыкина О.А. и др.</t>
  </si>
  <si>
    <t>978-5-16-019142-3</t>
  </si>
  <si>
    <t>38.03.01, 38.03.02, 38.03.03, 44.03.01, 44.03.05</t>
  </si>
  <si>
    <t>212900.09.01</t>
  </si>
  <si>
    <t>Финансовые измерения корп.стратег..: Моногр. / И.В.Ивашковская - 2 изд. - М:НИЦ ИНФРА-М,2023-320с(п)</t>
  </si>
  <si>
    <t>ФИНАНСОВЫЕ ИЗМЕРЕНИЯ КОРПОРАТИВНЫХ СТРАТЕГИЙ. СТЕЙКХОЛДЕРСКИЙ ПОДХОД, ИЗД.2</t>
  </si>
  <si>
    <t>Ивашковская И. В.</t>
  </si>
  <si>
    <t>978-5-16-006874-9</t>
  </si>
  <si>
    <t>712180.01.01</t>
  </si>
  <si>
    <t>Финансовые особ. устойчив. функционир. малых строит. орг. / Н.И.Морозко-М.:НИЦ ИНФРА-М,2019.-110с(О)</t>
  </si>
  <si>
    <t>ФИНАНСОВЫЕ ОСОБЕННОСТИ УСТОЙЧИВОСТИ ФУНКЦИОНИРОВАНИЯ МАЛЫХ СТРОИТЕЛЬНЫХ ОРГАНИЗАЦИЙ</t>
  </si>
  <si>
    <t>Морозко Н.И., Диденко В.Ю.</t>
  </si>
  <si>
    <t>978-5-16-015368-1</t>
  </si>
  <si>
    <t>08.03.01, 08.04.01, 38.03.01, 38.03.02, 38.04.01, 38.04.02</t>
  </si>
  <si>
    <t>814980.01.01</t>
  </si>
  <si>
    <t>Финансовые циклы и финансовая политика: Моногр. / В.П.Иваницкий-М.:НИЦ ИНФРА-М,2024.-223 с.(п)</t>
  </si>
  <si>
    <t>ФИНАНСОВЫЕ ЦИКЛЫ И ФИНАНСОВАЯ ПОЛИТИКА</t>
  </si>
  <si>
    <t>Иваницкий В.П., Пищулов В.М., Логинов М.П.</t>
  </si>
  <si>
    <t>978-5-16-019323-6</t>
  </si>
  <si>
    <t>656128.04.01</t>
  </si>
  <si>
    <t>Финансовый механизм гос. поддерж. АПК в России и Беларуси: Моногр./ Пинская М.Р.-М:НИЦ ИНФРА-М,2023-258с</t>
  </si>
  <si>
    <t>ФИНАНСОВЫЙ МЕХАНИЗМ ГОСУДАРСТВЕННОЙ ПОДДЕРЖКИ АПК В РОССИИ И БЕЛАРУСИ</t>
  </si>
  <si>
    <t>Пинская М.Р., Киреева Е.Ф., Сорокина Т.В. и др.</t>
  </si>
  <si>
    <t>978-5-16-012749-1</t>
  </si>
  <si>
    <t>35.03.04, 35.03.05, 35.03.07, 35.04.04, 35.04.05, 38.03.01, 44.03.01, 44.03.05</t>
  </si>
  <si>
    <t>665687.02.01</t>
  </si>
  <si>
    <t>Финансовый механизм и упр.уч.расхода производ.ресурсов.:Моногр./П.А.Левчаев-М.:НИЦ ИНФРА-М,2021-231с</t>
  </si>
  <si>
    <t>ФИНАНСОВЫЙ МЕХАНИЗМ И УПРАВЛЕНЧЕСКИЙ УЧЕТ РАСХОДА ПРОИЗВОДСТВЕННЫХ РЕСУРСОВ КОМПАНИИ</t>
  </si>
  <si>
    <t>Левчаев П.А., Осипов В.И.</t>
  </si>
  <si>
    <t>978-5-16-013187-0</t>
  </si>
  <si>
    <t>38.03.01, 38.03.02, 41.03.06</t>
  </si>
  <si>
    <t>657634.02.01</t>
  </si>
  <si>
    <t>Финансовый механизм распред.расход.рег.и муниц.бюдж. / В.В.Карпова.-М.:Вуз.уч.,НИЦ ИНФРА-М,2018-188с</t>
  </si>
  <si>
    <t>ФИНАНСОВЫЙ МЕХАНИЗМ РАСПРЕДЕЛЕНИЯ РАСХОДОВ РЕГИОНАЛЬНЫХ И МУНИЦИПАЛЬНЫХ БЮДЖЕТОВ</t>
  </si>
  <si>
    <t>Карпова В.В., Карпова Т.П., Ремжов А.В.</t>
  </si>
  <si>
    <t>978-5-9558-0570-2</t>
  </si>
  <si>
    <t>Финансовый университет при Правительстве Российской Федерации, Смоленский ф-л</t>
  </si>
  <si>
    <t>830048.01.01</t>
  </si>
  <si>
    <t>Финансовый суверенитет гос.: теория и...: Моногр. / Е.Ю.Грачева-М.:Юр. НОРМА, НИЦ ИНФРА-М,2024.-344 с.(п)</t>
  </si>
  <si>
    <t>ФИНАНСОВЫЙ СУВЕРЕНИТЕТ ГОСУДАРСТВА: ТЕОРИЯ И ПРАВОВАЯ РЕАЛЬНОСТЬ</t>
  </si>
  <si>
    <t>Грачева Е.Ю., Арзуманова Л.Л., Болтинова О.В. и др.</t>
  </si>
  <si>
    <t>978-5-00156-373-0</t>
  </si>
  <si>
    <t>40.03.01, 40.04.01, 40.05.02, 40.05.04</t>
  </si>
  <si>
    <t>653330.05.01</t>
  </si>
  <si>
    <t>Финансы бюджетных организаций соц. сферы: Моногр./ Т.В.Шубина -М.:НИЦ ИНФРА-М,2022.-134 с.(Науч.мысль)(О)</t>
  </si>
  <si>
    <t>ФИНАНСЫ БЮДЖЕТНЫХ ОРГАНИЗАЦИЙ СОЦИАЛЬНОЙ СФЕРЫ</t>
  </si>
  <si>
    <t>Шубина Т.В., Есаков С.П., Фролкин А.В.</t>
  </si>
  <si>
    <t>978-5-16-012745-3</t>
  </si>
  <si>
    <t>38.03.04, 38.04.01, 38.04.04</t>
  </si>
  <si>
    <t>842604.01.01</t>
  </si>
  <si>
    <t>Флотокомбайны для очистки воды типа КБС...: Моногр. / Б.С.Ксенофонтов - М.:НИЦ ИНФРА-М,2025. - 308 с.(п)</t>
  </si>
  <si>
    <t>ФЛОТОКОМБАЙНЫ ДЛЯ ОЧИСТКИ СТОЧНЫХ ВОД ТИПА КБС ОБЩЕГО И СПЕЦИАЛЬНОГО НАЗНАЧЕНИЯ И РЕЖИМЫ ИХ РАБОТЫ</t>
  </si>
  <si>
    <t>978-5-16-020367-6</t>
  </si>
  <si>
    <t>20.03.02, 20.04.02, 20.06.01</t>
  </si>
  <si>
    <t>798955.01.01</t>
  </si>
  <si>
    <t>Флотокомбайны для очистки сточных вод с...: Моногр. / Б.С.Ксенофонтов-М.:НИЦ ИНФРА-М,2023.-184 с.(о)</t>
  </si>
  <si>
    <t>ФЛОТОКОМБАЙНЫ ДЛЯ ОЧИСТКИ СТОЧНЫХ ВОД С НЕСКОЛЬКИМИ РАБОЧИМИ ЖИДКОСТЯМИ</t>
  </si>
  <si>
    <t>978-5-16-018246-9</t>
  </si>
  <si>
    <t>08.04.01, 20.04.02, 20.06.01, 20.07.01, 22.04.01</t>
  </si>
  <si>
    <t>200180.08.01</t>
  </si>
  <si>
    <t>Фондовый рынок Франции: Монография / Р.С.Куракин - М.:НИЦ ИНФРА-М,2021 - 78 с.-(Науч.мысль)(О)</t>
  </si>
  <si>
    <t>ФОНДОВЫЙ РЫНОК ФРАНЦИИ</t>
  </si>
  <si>
    <t>978-5-16-006139-9</t>
  </si>
  <si>
    <t>200181.08.01</t>
  </si>
  <si>
    <t>Фондовый рынок ФРГ: Монография / К.В.Мротцек-М.:НИЦ ИНФРА-М,2024.-152 с..-(Научная мысль)(О)</t>
  </si>
  <si>
    <t>ФОНДОВЫЙ РЫНОК ФЕДЕРАТИВНОЙ РЕСПУБЛИКИ ГЕРМАНИЯ</t>
  </si>
  <si>
    <t>Мротцек К.В., Куракин Р.С.</t>
  </si>
  <si>
    <t>978-5-16-006143-6</t>
  </si>
  <si>
    <t>711889.04.01</t>
  </si>
  <si>
    <t>Форма Советского государства: Монография / В.А.Рыбаков-М.:НИЦ ИНФРА-М,2024.-191 с.(Науч.мысль)(о)</t>
  </si>
  <si>
    <t>ФОРМА СОВЕТСКОГО ГОСУДАРСТВА</t>
  </si>
  <si>
    <t>Рыбаков В.А.</t>
  </si>
  <si>
    <t>978-5-16-015525-8</t>
  </si>
  <si>
    <t>145550.07.01</t>
  </si>
  <si>
    <t>Формальные источники права: Моногр. / С.А. Дробышевский - М.:Норма: НИЦ ИНФРА-М, 2025. - 160 с. (о)</t>
  </si>
  <si>
    <t>ФОРМАЛЬНЫЕ ИСТОЧНИКИ ПРАВА</t>
  </si>
  <si>
    <t>Дробышевский С.А., Данцева Т.Н.</t>
  </si>
  <si>
    <t>978-5-91768-143-6</t>
  </si>
  <si>
    <t>678846.09.01</t>
  </si>
  <si>
    <t>Формальные сред. доказ. в уголов.праве и проц.: Моногр. /  А.В.Смирнов - М.:Юр.Норма, НИЦ ИНФРА-М,2026 - 240 с.(п)</t>
  </si>
  <si>
    <t>ФОРМАЛЬНЫЕ СРЕДСТВА ДОКАЗЫВАНИЯ В УГОЛОВНОМ ПРАВЕ И ПРОЦЕССЕ</t>
  </si>
  <si>
    <t>Смирнов А.В.</t>
  </si>
  <si>
    <t>978-5-91768-899-2</t>
  </si>
  <si>
    <t>Российский государственный университет правосудия, Северо-Западный ф-л</t>
  </si>
  <si>
    <t>811216.01.01</t>
  </si>
  <si>
    <t>Формирование адапт.-ланд. систем земледелия...: Моногр./Под ред. Кочурова Б.И.-М.:НИЦ ИНФРА-М,2024-159с.(о)</t>
  </si>
  <si>
    <t>ФОРМИРОВАНИЕ АДАПТИВНО-ЛАНДШАФТНЫХ СИСТЕМ ЗЕМЛЕДЕЛИЯ ВО ВЛАДИМИРСКОМ ОПОЛЬЕ</t>
  </si>
  <si>
    <t>Винокуров И.Ю., Чернов О.С., Кочуров Б.И.</t>
  </si>
  <si>
    <t>978-5-16-019374-8</t>
  </si>
  <si>
    <t>Верхневолжский Федеральный аграрный научный центр</t>
  </si>
  <si>
    <t>781780.04.01</t>
  </si>
  <si>
    <t>Формирование базовых учебных действий у обучающихся..: Моногр. / И.М.Яковлева - М.:НИЦ ИНФРА-М,2025. - 144 с.(О)</t>
  </si>
  <si>
    <t>ФОРМИРОВАНИЕ БАЗОВЫХ УЧЕБНЫХ ДЕЙСТВИЙ У ОБУЧАЮЩИХСЯ С УМСТВЕННОЙ ОТСТАЛОСТЬЮ НА УРОКАХ МАТЕМАТИКИ В НАЧАЛЬНОЙ ШКОЛЕ</t>
  </si>
  <si>
    <t>978-5-16-017840-0</t>
  </si>
  <si>
    <t>44.04.03, 44.05.01, 44.06.01</t>
  </si>
  <si>
    <t>351300.06.01</t>
  </si>
  <si>
    <t>Формирование доступной среды жилищного фонда: Моногр./А.И.Романова-НИЦ ИНФРА-М,2023-157с(Науч.мысль)</t>
  </si>
  <si>
    <t>ФОРМИРОВАНИЕ ДОСТУПНОЙ СРЕДЫ ЖИЛИЩНОГО ФОНДА</t>
  </si>
  <si>
    <t>Романова А.И., Буркеев Д.О.</t>
  </si>
  <si>
    <t>978-5-16-010866-7</t>
  </si>
  <si>
    <t>07.03.04, 07.04.04, 08.03.01, 08.04.01, 21.03.02, 21.04.02</t>
  </si>
  <si>
    <t>751089.01.01</t>
  </si>
  <si>
    <t>Формирование и структура биоты природ. экосистем Камчатки: Моногр. / А.Н.Сметанин-М.:НИЦ ИНФРА-М,2022.-183 с.(Науч.мысль)(О)</t>
  </si>
  <si>
    <t>ФОРМИРОВАНИЕ И СТРУКТУРА БИОТЫ ПРИРОДНЫХ ЭКОСИСТЕМ КАМЧАТКИ</t>
  </si>
  <si>
    <t>978-5-16-016893-7</t>
  </si>
  <si>
    <t>05.03.06, 05.04.06, 05.06.01, 06.06.01</t>
  </si>
  <si>
    <t>667608.05.01</t>
  </si>
  <si>
    <t>Формирование износостойких композитных покрытий...:Моногр. / С.Б.Ярусова-М.:ИЦ РИОР, ИНФРА-М,2023-155с(П)</t>
  </si>
  <si>
    <t>ФОРМИРОВАНИЕ ИЗНОСОСТОЙКИХ КОМПОЗИТНЫХ ПОКРЫТИЙ НА ТИТАНОВЫХ СПЛАВАХ ПРИ  ЭЛЕКТРОДУГОВОЙ ОБРАБОТКЕ В ВОДНЫХ ЭЛЕКТРОЛИТАХ</t>
  </si>
  <si>
    <t>Жевтун И.Г., Гордиенко П.С., Ярусова С.Б.</t>
  </si>
  <si>
    <t>978-5-369-01715-9</t>
  </si>
  <si>
    <t>16.04.02</t>
  </si>
  <si>
    <t>761200.01.01</t>
  </si>
  <si>
    <t>Формирование корпоратив. механизма управ...: Моногр. / Г.С.Клычова - 2 изд.-М.:ИЦ РИОР, НИЦ ИНФРА-М,2021.-171 с.(О)</t>
  </si>
  <si>
    <t>ФОРМИРОВАНИЕ КОРПОРАТИВНОГО МЕХАНИЗМА УПРАВЛЕНИЯ СОЦИАЛЬНО-ЭКОНОМИЧЕСКИМ РАЗВИТИЕМ ПРЕДПРИЯТИЙ АГРАРНОГО СЕКТОРА ЭКОНОМИКИ, ИЗД.2</t>
  </si>
  <si>
    <t>978-5-369-01876-7</t>
  </si>
  <si>
    <t>35.03.04, 35.06.01, 38.04.02, 38.06.01</t>
  </si>
  <si>
    <t>670466.03.01</t>
  </si>
  <si>
    <t>Формирование механизма упр. территор. разв.:Моногр./ З.А.Васильева-М.:НИЦ ИНФРА-М, СФУ,2024-175с(П)</t>
  </si>
  <si>
    <t>ФОРМИРОВАНИЕ МЕХАНИЗМА УПРАВЛЕНИЯ ТЕРРИТОРИАЛЬНЫМ РАЗВИТИЕМ</t>
  </si>
  <si>
    <t>Васильева З.А., Лихачев М.А., Москвина А.В. и др.</t>
  </si>
  <si>
    <t>978-5-16-019288-8</t>
  </si>
  <si>
    <t>00.03.13, 00.05.13, 38.03.01, 38.04.01</t>
  </si>
  <si>
    <t>818074.01.01</t>
  </si>
  <si>
    <t>Формирование мыслит. операций старших дош...: Моногр. / М.Ю.Стожарова-М.:НИЦ ИНФРА-М,2025.-225с(о)</t>
  </si>
  <si>
    <t>ФОРМИРОВАНИЕ МЫСЛИТЕЛЬНЫХ ОПЕРАЦИЙ СТАРШИХ ДОШКОЛЬНИКОВ В МАТЕМАТИЧЕСКОЙ ДЕЯТЕЛЬНОСТИ</t>
  </si>
  <si>
    <t>Стожарова М.Ю., Забродина Н.А.</t>
  </si>
  <si>
    <t>978-5-16-019681-7</t>
  </si>
  <si>
    <t>842824.01.01</t>
  </si>
  <si>
    <t>Формирование нового образоват. уклада в доп. проф. образ. / О.Е.Ломакин. - М.:НИЦ ИНФРА-М,2025. - 173 с.(о)</t>
  </si>
  <si>
    <t>ФОРМИРОВАНИЕ НОВОГО ОБРАЗОВАТЕЛЬНОГО УКЛАДА В ДОПОЛНИТЕЛЬНОМ ПРОФЕССИОНАЛЬНОМ ОБРАЗОВАНИИ</t>
  </si>
  <si>
    <t>Ломакин О.Е., Можаев Е.Е., Марков А.К. и др.</t>
  </si>
  <si>
    <t>978-5-16-020450-5</t>
  </si>
  <si>
    <t>643111.05.01</t>
  </si>
  <si>
    <t>Формирование новой эконом. интеллигенции..: Моногр. / Г.Г.Силласте - М.:НИЦ ИНФРА-М,2023 - 206с.(П)</t>
  </si>
  <si>
    <t>ФОРМИРОВАНИЕ НОВОЙ ЭКОНОМИЧЕСКОЙ ИНТЕЛЛИГЕНЦИИ В УСЛОВИЯХ РЫНОЧНОЙ ЭКОНОМИКИ</t>
  </si>
  <si>
    <t>Силласте Г.Г., Борисов Ю.В.</t>
  </si>
  <si>
    <t>978-5-16-012376-9</t>
  </si>
  <si>
    <t>346300.06.01</t>
  </si>
  <si>
    <t>Формирование организац.стратегии управл. кадр.потенциалом /Н.М.Кузьмина-НИЦ ИНФРА-М,2023-94с.(НМ)(О)</t>
  </si>
  <si>
    <t>ФОРМИРОВАНИЕ ОРГАНИЗАЦИОННОЙ СТРАТЕГИИ УПРАВЛЕНИЯ КАДРОВЫМ ПОТЕНЦИАЛОМ: КОМПЕТЕНТНОСТНЫЙ ПОДХОД</t>
  </si>
  <si>
    <t>Н.М.Кузьмина, О.В.Толстякова</t>
  </si>
  <si>
    <t>978-5-16-010815-5</t>
  </si>
  <si>
    <t>38.03.01, 38.03.02, 38.03.03, 38.03.04, 38.04.01, 38.04.02, 38.04.03, 38.04.04, 38.06.01, 44.03.01</t>
  </si>
  <si>
    <t>672657.03.01</t>
  </si>
  <si>
    <t>Формирование предп.общности в условиях трансформ..: Моногр./О.А.Соловьева-М.:НИЦ ИНФРА-М,2024-181с(О)</t>
  </si>
  <si>
    <t>ФОРМИРОВАНИЕ ПРЕДПРИНИМАТЕЛЬСКОЙ ОБЩНОСТИ В УСЛОВИЯХ ТРАНСФОРМАЦИИ ГОСУДАРСТВЕННОГО РЕГУЛИРОВАНИЯ ЭКОНОМИКИ</t>
  </si>
  <si>
    <t>Соловьева О.А.</t>
  </si>
  <si>
    <t>978-5-16-013507-6</t>
  </si>
  <si>
    <t>38.03.01, 40.03.01, 44.03.01</t>
  </si>
  <si>
    <t>461700.03.01</t>
  </si>
  <si>
    <t>Формирование профессионал.компетентности курсантов..:Моногр./О.В.Евтихов-М.:НИЦ ИНФРА-М,2024-181с(о)</t>
  </si>
  <si>
    <t>ФОРМИРОВАНИЕ ПРОФЕССИОНАЛЬНОЙ КОМПЕТЕНТНОСТИ КУРСАНТОВ В ОБРАЗОВАТЕЛЬНОЙ СРЕДЕ ВУЗА  ПРАВООХРАНИТЕЛЬНЫХ ОРГАНОВ</t>
  </si>
  <si>
    <t>ЕвтиховО.В.</t>
  </si>
  <si>
    <t>978-5-16-011508-5</t>
  </si>
  <si>
    <t>399500.04.01</t>
  </si>
  <si>
    <t>Формирование регион.логист.объед.на основе ресурс.:Моногр./О.В.Рыкалина-М.:НИЦ ИНФРА-М,2024-244с.(о)</t>
  </si>
  <si>
    <t>ФОРМИРОВАНИЕ РЕГИОНАЛЬНЫХ ЛОГИСТИЧЕСКИХ ОБЪЕДИНЕНИЙ НА ОСНОВЕ РЕСУРСНЫХ ПОТЕНЦИАЛОВ ОКРУГОВ РОССИЙСКОЙ ФЕДЕРАЦИИ</t>
  </si>
  <si>
    <t>978-5-16-011281-7</t>
  </si>
  <si>
    <t>15.04.04, 23.03.01, 29.04.02, 38.03.01, 42.03.03</t>
  </si>
  <si>
    <t>753568.02.01</t>
  </si>
  <si>
    <t>Формирование совр. международно-правовой концепции... / А.Я.Капустин.-М.:НИЦ ИНФРА-М,2024.-264 с.(ИЗиСП)(О)</t>
  </si>
  <si>
    <t>ФОРМИРОВАНИЕ СОВРЕМЕННОЙ МЕЖДУНАРОДНО-ПРАВОВОЙ КОНЦЕПЦИИ ИССЛЕДОВАНИЯ И ИСПОЛЬЗОВАНИЯ КОСМИЧЕСКОГО ПРОСТРАНСТВА</t>
  </si>
  <si>
    <t>Капустин А.Я., Авхадеев В.Р., Головина А.А. и др.</t>
  </si>
  <si>
    <t>978-5-16-016815-9</t>
  </si>
  <si>
    <t>717642.01.01</t>
  </si>
  <si>
    <t>Формирование у студентов педагогических профилей...: Моногр./ Т.Г.Неретина-М.:НИЦ ИНФРА-М,2020-117с.(О)</t>
  </si>
  <si>
    <t>ФОРМИРОВАНИЕ У СТУДЕНТОВ ПЕДАГОГИЧЕСКИХ ПРОФИЛЕЙ «ОБРАЗА Я РОДИТЕЛЯ» В ПРОЦЕССЕ ПРОФЕССИОНАЛЬНОЙ ПОДГОТОВКИ В ВУЗЕ</t>
  </si>
  <si>
    <t>Неретина Т.Г., Орехова Т.Ф.</t>
  </si>
  <si>
    <t>978-5-16-015603-3</t>
  </si>
  <si>
    <t>44.04.01, 44.04.02, 44.04.03, 44.04.04</t>
  </si>
  <si>
    <t>664213.02.01</t>
  </si>
  <si>
    <t>Формирование фин. резервов и оценочных обязат..:Моногр./А.М.Петров-М.:Вуз.уч.,НИЦ ИНФРА-М,2018-160с</t>
  </si>
  <si>
    <t>ФОРМИРОВАНИЕ ФИНАНСОВЫХ РЕЗЕРВОВ И ОЦЕНОЧНЫХ ОБЯЗАТЕЛЬСТВ В УЧЕТЕ И ОТЧЕТНОСТИ</t>
  </si>
  <si>
    <t>Петров А.М., Мельникова Л.А.</t>
  </si>
  <si>
    <t>978-5-9558-0583-2</t>
  </si>
  <si>
    <t>38.03.01, 38.03.02, 38.03.04, 38.04.02, 38.04.08, 38.04.09, 44.03.01, 44.03.05</t>
  </si>
  <si>
    <t>338800.05.01</t>
  </si>
  <si>
    <t>Формирование, развитие и коучинг эмоциональной...: Моногр./ О.Л.Чуланова-М.:НИЦ ИНФРА-М,2023-217с(о)</t>
  </si>
  <si>
    <t>ФОРМИРОВАНИЕ, РАЗВИТИЕ И КОУЧИНГ ЭМОЦИОНАЛЬНОЙ КОМПЕТЕНТНОСТИ В УПРАВЛЕНИИ ПЕРСОНАЛОМ ОРГАНИЗАЦИИ</t>
  </si>
  <si>
    <t>978-5-16-018030-4</t>
  </si>
  <si>
    <t>23.03.01, 38.03.01, 38.03.03, 38.03.04, 38.04.03, 41.03.06, 44.03.01</t>
  </si>
  <si>
    <t>799664.01.01</t>
  </si>
  <si>
    <t>Формирование.информ.-аналит.обеспеч.стратег.управ.фин.эконом... / В.В.Башкатов.-М.:НИЦ ИНФРА-М,2023.-215 с.(о)</t>
  </si>
  <si>
    <t>ФОРМИРОВАНИЕ ИНФОРМАЦИОННО-АНАЛИТИЧЕСКОГО ОБЕСПЕЧЕНИЯ СТРАТЕГИЧЕСКОГО УПРАВЛЕНИЯ ФИНАНСАМИ ЭКОНОМИЧЕСКОГО СУБЪЕКТА</t>
  </si>
  <si>
    <t>Башкатов В.В., Миронов О.А., Миронова А.С.</t>
  </si>
  <si>
    <t>978-5-16-018369-5</t>
  </si>
  <si>
    <t>670767.02.01</t>
  </si>
  <si>
    <t>Формы правления в странах СНГ / А.В.Нечкин - М.:Юр.Норма, НИЦ ИНФРА-М,2020 - 208 с.(П)</t>
  </si>
  <si>
    <t>ФОРМЫ ПРАВЛЕНИЯ В СТРАНАХ СНГ</t>
  </si>
  <si>
    <t>978-5-91768-874-9</t>
  </si>
  <si>
    <t>720222.01.01</t>
  </si>
  <si>
    <t>Фрактально-хаотические свойства когнитивных процес.../ В.Г.Каменская-М.:НИЦ ИНФРА-М,2020.-217 с.(О)</t>
  </si>
  <si>
    <t>ФРАКТАЛЬНО-ХАОТИЧЕСКИЕ СВОЙСТВА КОГНИТИВНЫХ ПРОЦЕССОВ: ВОЗРАСТНОЙ АСПЕКТ</t>
  </si>
  <si>
    <t>Каменская В.Г., Томанов Л.В.</t>
  </si>
  <si>
    <t>978-5-16-015748-1</t>
  </si>
  <si>
    <t>37.03.01, 37.06.01, 44.03.04, 44.03.05</t>
  </si>
  <si>
    <t>631893.04.01</t>
  </si>
  <si>
    <t>Французский язык в Африке: проблемы интерференции: Моногр. / Ж.Багана - М.:НИЦ ИНФРА-М,2026. - 163 с.(о)</t>
  </si>
  <si>
    <t>ФРАНЦУЗСКИЙ ЯЗЫК В АФРИКЕ: ПРОБЛЕМЫ ИНТЕРФЕРЕНЦИИ</t>
  </si>
  <si>
    <t>Багана Ж.</t>
  </si>
  <si>
    <t>978-5-16-019040-2</t>
  </si>
  <si>
    <t>45.03.02</t>
  </si>
  <si>
    <t>182850.02.01</t>
  </si>
  <si>
    <t>Французский язык в Африке: проблемы фразеологии: монография / Ж.Багана и др.-М.:НИЦ ИНФРА-М,2014.-144 с..-(Науч.мысль)(О. КБС)</t>
  </si>
  <si>
    <t>ФРАНЦУЗСКИЙ ЯЗЫК В АФРИКЕ: ПРОБЛЕМЫ ФРАЗЕОЛОГИИ</t>
  </si>
  <si>
    <t>Багана Ж., Лангнер А.Н., Останкова В.Ф.</t>
  </si>
  <si>
    <t>978-5-16-005441-4</t>
  </si>
  <si>
    <t>800301.01.01</t>
  </si>
  <si>
    <t>Фрикционные волокнисто-армированные керамоматрич. композиц... / А.П.Гаршин.-М.:НИЦ ИНФРА-М,2023.-247 с.(П)</t>
  </si>
  <si>
    <t>ФРИКЦИОННЫЕ ВОЛОКНИСТО-АРМИРОВАННЫЕ КЕРАМОМАТРИЧНЫЕ КОМПОЗИЦИОННЫЕ МАТЕРИАЛЫ</t>
  </si>
  <si>
    <t>Гаршин А.П., Нилов А.С., Кулик В.И.</t>
  </si>
  <si>
    <t>978-5-16-018370-1</t>
  </si>
  <si>
    <t>04.04.02, 22.04.01, 22.06.01, 24.04.04, 24.06.01</t>
  </si>
  <si>
    <t>679447.03.01</t>
  </si>
  <si>
    <t>Функционально устойчивые сист.упр.: асимптотические..:Моногр./С.А.Дубовик-М.:НИЦ ИНФРА-М,2023-249с.</t>
  </si>
  <si>
    <t>ФУНКЦИОНАЛЬНО УСТОЙЧИВЫЕ СИСТЕМЫ УПРАВЛЕНИЯ: АСИМПТОТИЧЕСКИЕ МЕТОДЫ СИНТЕЗА</t>
  </si>
  <si>
    <t>Дубовик С.А., Кабанов А.А.</t>
  </si>
  <si>
    <t>978-5-16-014078-0</t>
  </si>
  <si>
    <t>01.04.03, 13.03.03, 27.03.05</t>
  </si>
  <si>
    <t>737705.01.01</t>
  </si>
  <si>
    <t>Функционально-семантич. категория альтернатив. в свете традиц...: Моногр. / Н.Г.Склярова-М.:НИЦ ИНФРА-М,2022-413с(О)</t>
  </si>
  <si>
    <t>ФУНКЦИОНАЛЬНО-СЕМАНТИЧЕСКАЯ КАТЕГОРИЯ АЛЬТЕРНАТИВНОСТИ В СВЕТЕ ТРАДИЦИОННЫХ И СОВРЕМЕННЫХ ЛИНГВИСТИЧЕСКИХ КОНЦЕПЦИЙ</t>
  </si>
  <si>
    <t>978-5-16-017032-9</t>
  </si>
  <si>
    <t>45.04.01, 45.04.02, 45.04.03</t>
  </si>
  <si>
    <t>425050.09.01</t>
  </si>
  <si>
    <t>Функциональный и интернет-маркетинг: Моногр. / О.С.Сухарев - М.: КУРС,НИЦ ИНФРА-М,2024-352с.(Наука)</t>
  </si>
  <si>
    <t>ФУНКЦИОНАЛЬНЫЙ И ИНТЕРНЕТ-МАРКЕТИНГ</t>
  </si>
  <si>
    <t>Сухарев О. С., Курманов Н. В., Мельковская К. Р.</t>
  </si>
  <si>
    <t>978-5-905554-33-9</t>
  </si>
  <si>
    <t>38.03.01, 38.03.02, 38.03.03, 38.03.05, 38.04.01, 38.04.02, 38.04.03, 38.04.05, 38.04.08, 41.03.06, 44.03.01, 44.03.05</t>
  </si>
  <si>
    <t>279600.07.01</t>
  </si>
  <si>
    <t>Характеры героев Шекспира: Монография / С.Ю.Поройков - М.:НИЦ ИНФРА-М,2022 - 240 с.-(Науч.мысль)(О)</t>
  </si>
  <si>
    <t>ХАРАКТЕРЫ ГЕРОЕВ ШЕКСПИРА</t>
  </si>
  <si>
    <t>978-5-16-009822-7</t>
  </si>
  <si>
    <t>37.03.01, 37.04.01, 44.03.01, 44.03.05, 45.03.01, 45.04.01, 45.06.01</t>
  </si>
  <si>
    <t>639321.05.01</t>
  </si>
  <si>
    <t>Хемингуэй и его женщины. Страницы жизни и творч.: Моногр. / Б.А.Гиленсон-М.:НИЦ ИНФРА-М,2025.-264 с.(о)</t>
  </si>
  <si>
    <t>ХЕМИНГУЭЙ И ЕГО ЖЕНЩИНЫ. СТРАНИЦЫ ЖИЗНИ И ТВОРЧЕСТВА</t>
  </si>
  <si>
    <t>978-5-16-018559-0</t>
  </si>
  <si>
    <t>689723.02.01</t>
  </si>
  <si>
    <t>Химическая связь в переходных металлах, сплавах...: Моногр. / В.И.Наумов-М.:НИЦ ИНФРА-М,2023-311с(О)</t>
  </si>
  <si>
    <t>ХИМИЧЕСКАЯ СВЯЗЬ В ПЕРЕХОДНЫХ МЕТАЛЛАХ, СПЛАВАХ И УПРОЧНЯЮЩИХ ФАЗАХ</t>
  </si>
  <si>
    <t>Наумов В.И., Пачурин Г.В., Филиппов А.А.</t>
  </si>
  <si>
    <t>978-5-16-014360-6</t>
  </si>
  <si>
    <t>773091.02.01</t>
  </si>
  <si>
    <t>Химические и физико-химич. способы очистки сточных...: Моногр. / Б.С.Ксенофонтов - М.:НИЦ ИНФРА-М,2026 - 321 с.(О)</t>
  </si>
  <si>
    <t>ХИМИЧЕСКИЕ И ФИЗИКО-ХИМИЧЕСКИЕ СПОСОБЫ ОЧИСТКИ СТОЧНЫХ И ТЕХНОГЕННЫХ  ВОД</t>
  </si>
  <si>
    <t>978-5-16-017605-5</t>
  </si>
  <si>
    <t>18.03.01, 18.03.02, 20.03.01, 20.03.02, 20.04.01, 20.06.01, 22.04.01</t>
  </si>
  <si>
    <t>768877.01.01</t>
  </si>
  <si>
    <t>Химия: терминологический словарь / А.П.Гаршин - М.:НИЦ ИНФРА-М,2025. - 310 с.-(Б-ка словарей ИНФРА-М)(п)</t>
  </si>
  <si>
    <t>ХИМИЯ: ТЕРМИНОЛОГИЧЕСКИЙ СЛОВАРЬ</t>
  </si>
  <si>
    <t>Гаршин А.П.</t>
  </si>
  <si>
    <t>978-5-16-018292-6</t>
  </si>
  <si>
    <t>00.03.40</t>
  </si>
  <si>
    <t>773008.01.01</t>
  </si>
  <si>
    <t>Хирургические вмешательства в комплекс. лечении туберкулеза... / Е.А.Бородулина.-М.:НИЦ ИНФРА-М,2022.-187 с(О)</t>
  </si>
  <si>
    <t>ХИРУРГИЧЕСКИЕ ВМЕШАТЕЛЬСТВА В КОМПЛЕКСНОМ ЛЕЧЕНИИ ТУБЕРКУЛЕЗА ЛЕГКИХ. ПРЕДОПЕРАЦИОННОЕ ПЛАНИРОВАНИЕ С 3D МОДЕЛИРОВАНИЕМ</t>
  </si>
  <si>
    <t>Бородулина Е.А., Колсанов А.В., Рогожкин П.В.</t>
  </si>
  <si>
    <t>978-5-16-017530-0</t>
  </si>
  <si>
    <t>31.05.01, 31.05.02, 31.05.03, 31.08.35, 31.08.51, 32.05.01</t>
  </si>
  <si>
    <t>155100.07.01</t>
  </si>
  <si>
    <t>Христианские писатели II-XV вв. Византия и латин. Запад: Сл.-справ. / Ю.В.Балакин - Форум,2024 - 576с. (П)</t>
  </si>
  <si>
    <t>ХРИСТИАНСКИЕ ПИСАТЕЛИ II-XV ВЕКОВ. ВИЗАНТИЯ И ЛАТИНСКИЙ ЗАПАД</t>
  </si>
  <si>
    <t>Балакин Ю. В.</t>
  </si>
  <si>
    <t>978-5-91134-497-9</t>
  </si>
  <si>
    <t>803410.01.01</t>
  </si>
  <si>
    <t>Хроническая нейрогенная боль как модификатор злокач. процес. / И.М.Котиева-М.:НИЦ ИНФРА-М,2024.-341 с.(п)</t>
  </si>
  <si>
    <t>ХРОНИЧЕСКАЯ НЕЙРОГЕННАЯ БОЛЬ КАК МОДИФИКАТОР ЗЛОКАЧЕСТВЕННОГО ПРОЦЕССА</t>
  </si>
  <si>
    <t>Котиева И.М.</t>
  </si>
  <si>
    <t>978-5-16-019650-3</t>
  </si>
  <si>
    <t>30.05.01, 30.06.01, 31.05.01, 31.05.02, 31.08.57, 32.05.01</t>
  </si>
  <si>
    <t>850450.03.01</t>
  </si>
  <si>
    <t>Хроноэкономика информац. общества: Моногр. / А.И.Богомолов - М.:Магистр, НИЦ ИНФРА-М,2026. - 248 с.(п)</t>
  </si>
  <si>
    <t>ХРОНОЭКОНОМИКА ИНФОРМАЦИОННОГО ОБЩЕСТВА</t>
  </si>
  <si>
    <t>Богомолов А.И.</t>
  </si>
  <si>
    <t>978-5-9776-0569-4</t>
  </si>
  <si>
    <t>276900.06.01</t>
  </si>
  <si>
    <t>Художественная деят. в пространстве культ. общ.: Моногр. / Л.Н.Дорогова - ИНФРА-М, 2023-152с. (о)</t>
  </si>
  <si>
    <t>ХУДОЖЕСТВЕННАЯ ДЕЯТЕЛЬНОСТЬ В ПРОСТРАНСТВЕ КУЛЬТУРЫ ОБЩЕСТВА</t>
  </si>
  <si>
    <t>Дорогова Л.Н.</t>
  </si>
  <si>
    <t>978-5-16-009781-7</t>
  </si>
  <si>
    <t>44.03.05, 50.06.01, 50.07.01, 51.03.01, 51.03.02, 51.04.02, 51.06.01</t>
  </si>
  <si>
    <t>732109.05.01</t>
  </si>
  <si>
    <t>Художественное проектирование костюма: Моногр. / Т.В.Козлова, - 2 изд. - М.:НИЦ ИНФРА-М,2026. - 140 с.(О)</t>
  </si>
  <si>
    <t>ХУДОЖЕСТВЕННОЕ ПРОЕКТИРОВАНИЕ КОСТЮМА, ИЗД.2</t>
  </si>
  <si>
    <t>Козлова Т.В.</t>
  </si>
  <si>
    <t>978-5-16-016050-4</t>
  </si>
  <si>
    <t>29.03.01, 29.03.05, 29.04.01, 29.04.05, 54.03.03, 54.04.03</t>
  </si>
  <si>
    <t>260300.04.01</t>
  </si>
  <si>
    <t>Цветофразеологизмы рус. и исп. яз. в лингв..: Моногр. / Ж.Багана-М:НИЦ ИНФРА-М,2024-116с(Науч.мысль)</t>
  </si>
  <si>
    <t>ЦВЕТОФРАЗЕОЛОГИЗМЫ РУССКОГО И ИСПАНСКОГО ЯЗЫКОВ В ЛИНГВОКУЛЬТУРНОМ АСПЕКТЕ</t>
  </si>
  <si>
    <t>Багана Ж., Еркова Д. Н.</t>
  </si>
  <si>
    <t>978-5-16-009503-5</t>
  </si>
  <si>
    <t>780147.05.01</t>
  </si>
  <si>
    <t>Ценностное отнош. к семье как основа духовно-нравств... / Т.А.Серебрякова - М.:НИЦ ИНФРА-М,2026. - 185 с.(О)</t>
  </si>
  <si>
    <t>ЦЕННОСТНОЕ ОТНОШЕНИЕ К СЕМЬЕ КАК ОСНОВА ДУХОВНО-НРАВСТВЕННОГО СТАНОВЛЕНИЯ ЛИЧНОСТИ</t>
  </si>
  <si>
    <t>Серебрякова Т.А., Конева И.А.</t>
  </si>
  <si>
    <t>978-5-16-018283-4</t>
  </si>
  <si>
    <t>39.04.02, 39.04.03, 39.06.01, 44.04.01, 44.04.02, 44.05.01, 44.06.01</t>
  </si>
  <si>
    <t>803683.02.01</t>
  </si>
  <si>
    <t>Ценностные ориентации совр. рос. молодежи...: Моногр. / М.И.Камалова - М.:НИЦ ИНФРА-М,2025 - 171 с.(п)</t>
  </si>
  <si>
    <t>ЦЕННОСТНЫЕ ОРИЕНТАЦИИ СОВРЕМЕННОЙ РОССИЙСКОЙ МОЛОДЕЖИ: ПУБЛИЧНАЯ ПОЛИТИКА КАК ПРОСТРАНСТВО ФОРМИРОВАНИЯ</t>
  </si>
  <si>
    <t>Камалова М.И.</t>
  </si>
  <si>
    <t>978-5-16-018573-6</t>
  </si>
  <si>
    <t>39.04.03, 39.06.01</t>
  </si>
  <si>
    <t>681408.02.01</t>
  </si>
  <si>
    <t>Ценностный мир совр. рос. молодежи: Моногр. / И.В.Бормотов - М.:НИЦ ИНФРА-М,2026 - 178 с.(Научная мысль)(О)</t>
  </si>
  <si>
    <t>ЦЕННОСТНЫЙ МИР СОВРЕМЕННОЙ РОССИЙСКОЙ МОЛОДЕЖИ (СОЦИАЛЬНО-ФИЛОСОФСКИЙ АНАЛИЗ)</t>
  </si>
  <si>
    <t>Бормотов И.В.</t>
  </si>
  <si>
    <t>978-5-16-017332-0</t>
  </si>
  <si>
    <t>39.03.03, 39.04.03, 39.06.01</t>
  </si>
  <si>
    <t>653237.06.01</t>
  </si>
  <si>
    <t>Централизованная бухгалтерия в секторе.: Моногр. / Р.В.Ерженин - М.:ИЦ РИОР, НИЦ ИНФРА-М,2025 - 204 с.(О)</t>
  </si>
  <si>
    <t>ЦЕНТРАЛИЗОВАННАЯ БУХГАЛТЕРИЯ В СЕКТОРЕ ГОСУДАРСТВЕННОГО УПРАВЛЕНИЯ: ТЕОРИЯ И ПРАКТИКА</t>
  </si>
  <si>
    <t>Ерженин Р.В.</t>
  </si>
  <si>
    <t>978-5-369-01662-6</t>
  </si>
  <si>
    <t>09.03.03, 09.04.02, 27.03.05, 27.04.04, 38.04.04, 38.04.05, 38.04.09, 38.05.01</t>
  </si>
  <si>
    <t>169450.04.01</t>
  </si>
  <si>
    <t>Центральная Азия в полит. кайзеров. Германии: Моногр./В.В.Ряполов -М.:ИЦ РИОР,НИЦ ИНФРА-М,2019-116с.</t>
  </si>
  <si>
    <t>ЦЕНТРАЛЬНАЯ АЗИЯ В ПОЛИТИКЕ КАЙЗЕРОВСКОЙ ГЕРМАНИИ</t>
  </si>
  <si>
    <t>Ряполов В.В.</t>
  </si>
  <si>
    <t>978-5-369-01008-2</t>
  </si>
  <si>
    <t>41.03.04, 41.04.04, 44.03.01, 44.03.05, 46.03.01, 46.04.01</t>
  </si>
  <si>
    <t>817651.02.01</t>
  </si>
  <si>
    <t>Центральные территории Тольятти...: Моногр. / Д.Б.Веретенников - М.:НИЦ ИНФРА-М,2026 - 293 с.(Науч.мысль)(п)</t>
  </si>
  <si>
    <t>ЦЕНТРАЛЬНЫЕ ТЕРРИТОРИИ ТОЛЬЯТТИ: ИСТОРИЯ ФОРМИРОВАНИЯ И ПЕРСПЕКТИВЫ РАЗВИТИЯ</t>
  </si>
  <si>
    <t>Веретенников Д.Б.</t>
  </si>
  <si>
    <t>978-5-16-019913-9</t>
  </si>
  <si>
    <t>07.04.01, 07.04.03, 07.04.04, 07.06.01</t>
  </si>
  <si>
    <t>408550.05.01</t>
  </si>
  <si>
    <t>Цепочка создания стоимости продукта: Моногр. / Т.В.Андреева-М.:ИЦ РИОР, НИЦ ИНФРА-М,2024.-170 с.(О)</t>
  </si>
  <si>
    <t>ЦЕПОЧКА СОЗДАНИЯ СТОИМОСТИ ПРОДУКТА: ФОРМИРОВАНИЕ И ОЦЕНКА  ЭФФЕКТИВНОСТИ</t>
  </si>
  <si>
    <t>Андреева Т.В.</t>
  </si>
  <si>
    <t>978-5-369-01147-8</t>
  </si>
  <si>
    <t>Оренбургский государственный университет, ф-л Орский гуманитарно-технологический институт</t>
  </si>
  <si>
    <t>825505.02.01</t>
  </si>
  <si>
    <t>Цивилизационные аспекты пробл. прав чел..: Моногр. / Т.Я.Хабриева. - М.:Юр. НОРМА, НИЦ ИНФРА-М,2026 - 208 с.(п)</t>
  </si>
  <si>
    <t>ЦИВИЛИЗАЦИОННЫЕ АСПЕКТЫ ПРОБЛЕМЫ ПРАВ ЧЕЛОВЕКА. К 75-ЛЕТИЮ ВСЕОБЩЕЙ ДЕКЛАРАЦИИ ПРАВ ЧЕЛОВЕКА</t>
  </si>
  <si>
    <t>Хабриева Т.Я., Лазарев В.В., Ковлер А.И. и др.</t>
  </si>
  <si>
    <t>978-5-00156-367-9</t>
  </si>
  <si>
    <t>40.04.01, 40.05.04, 40.06.01, 41.04.05</t>
  </si>
  <si>
    <t>407000.03.01</t>
  </si>
  <si>
    <t>Циклида Дюпена и ее приложение: Моногр. / Н.А.Сальков-М.:НИЦ ИНФРА-М,2023.-141 с.(Науч.мысль)(О)</t>
  </si>
  <si>
    <t>ЦИКЛИДА ДЮПЕНА И ЕЕ ПРИЛОЖЕНИЕ</t>
  </si>
  <si>
    <t>978-5-16-011910-6</t>
  </si>
  <si>
    <t>01.03.02, 01.03.04, 02.03.02, 02.03.03, 03.03.02, 04.03.02, 29.04.04</t>
  </si>
  <si>
    <t>785403.01.01</t>
  </si>
  <si>
    <t>Цикличность развития экономики и финансовой сферы: Моногр. / В.М.Пищулов-М.:НИЦ ИНФРА-М,2023.-212 с.(О)</t>
  </si>
  <si>
    <t>ЦИКЛИЧНОСТЬ РАЗВИТИЯ ЭКОНОМИКИ И ФИНАНСОВОЙ СФЕРЫ</t>
  </si>
  <si>
    <t>978-5-16-017885-1</t>
  </si>
  <si>
    <t>333900.03.01</t>
  </si>
  <si>
    <t>Циклы и общество: Монография / В.В.Афанасьев -М.:НИЦ ИНФРА-М,2019.-238 с..-(Науч.мысль)(О)</t>
  </si>
  <si>
    <t>ЦИКЛЫ И ОБЩЕСТВО</t>
  </si>
  <si>
    <t>978-5-16-010648-9</t>
  </si>
  <si>
    <t>781694.03.01</t>
  </si>
  <si>
    <t>Циркулярная модель экономического роста...: Моногр./ С.В.Ратнер - М.:НИЦ ИНФРА-М,2026 - 212 с.(П)</t>
  </si>
  <si>
    <t>ЦИРКУЛЯРНАЯ МОДЕЛЬ ЭКОНОМИЧЕСКОГО РОСТА: ОПЫТ, ВОЗМОЖНОСТИ И БАРЬЕРЫ</t>
  </si>
  <si>
    <t>Ратнер С.В., Назарова Л.Е.</t>
  </si>
  <si>
    <t>978-5-16-017852-3</t>
  </si>
  <si>
    <t>38.04.01, 38.04.02, 38.04.04, 38.06.01, 40.04.01</t>
  </si>
  <si>
    <t>770770.04.01</t>
  </si>
  <si>
    <t>Циркулярная экономика..: Моногр. / И.И.Антонова и др. - М.:НИЦ ИНФРА-М,2026. - 270 с.(П)</t>
  </si>
  <si>
    <t>ЦИРКУЛЯРНАЯ ЭКОНОМИКА: ОБЕСПЕЧЕНИЕ УСТОЙЧИВОГО РАЗВИТИЯ И КОНКУРЕНТОСПОСОБНОСТИ РЕГИОНА</t>
  </si>
  <si>
    <t>Антонова И.И., Кормишкина Л.А., Салимова Т.А. и др.</t>
  </si>
  <si>
    <t>978-5-16-017708-3</t>
  </si>
  <si>
    <t>Казанский инновационный университет им. В.Г. Тимирясова</t>
  </si>
  <si>
    <t>699517.06.01</t>
  </si>
  <si>
    <t>Цитирование как метод сопровожд.и обесп.науч.исслед.: Моногр. / И.В.Понкин - М.:НИЦ ИНФРА-М,2023-86с(О)</t>
  </si>
  <si>
    <t>ЦИТИРОВАНИЕ КАК МЕТОД СОПРОВОЖДЕНИЯ И ОБЕСПЕЧЕНИЯ НАУЧНОГО ИССЛЕДОВАНИЯ</t>
  </si>
  <si>
    <t>Понкин И.В., Редькина А.И.</t>
  </si>
  <si>
    <t>978-5-16-014750-5</t>
  </si>
  <si>
    <t>775127.02.01</t>
  </si>
  <si>
    <t>Цифровая аналитика и контроль финанс. безопас...: Моногр. / Н.А.Казакова-М.:НИЦ ИНФРА-М,2025.-160 с.(О)</t>
  </si>
  <si>
    <t>ЦИФРОВАЯ АНАЛИТИКА И КОНТРОЛЬ ФИНАНСОВОЙ БЕЗОПАСНОСТИ ОБЩЕСТВЕННО ЗНАЧИМЫХ ОРГАНИЗАЦИЙ</t>
  </si>
  <si>
    <t>Казакова Н.А., Сивкова А.Е.</t>
  </si>
  <si>
    <t>978-5-16-017634-5</t>
  </si>
  <si>
    <t>38.04.01, 38.04.02, 38.04.08, 38.05.01, 38.06.01, 38.07.02</t>
  </si>
  <si>
    <t>673207.10.01</t>
  </si>
  <si>
    <t>Цифровая эконом.: Упр.электр.бизнесом и электр.коммер.: Моногр. / Л.В.Лапидус - М.:НИЦ ИНФРА-М,2025 - 381с.(П)</t>
  </si>
  <si>
    <t>ЦИФРОВАЯ ЭКОНОМИКА: УПРАВЛЕНИЕ ЭЛЕКТРОННЫМ БИЗНЕСОМ И ЭЛЕКТРОННОЙ КОММЕРЦИЕЙ</t>
  </si>
  <si>
    <t>Лапидус Л.В.</t>
  </si>
  <si>
    <t>978-5-16-013607-3</t>
  </si>
  <si>
    <t>38.03.01, 38.03.04, 40.03.01, 41.03.05, 44.03.01, 44.03.05</t>
  </si>
  <si>
    <t>803333.02.01</t>
  </si>
  <si>
    <t>Цифровое гражданство: Моногр. / И.С.Иксанов - М.:НИЦ ИНФРА-М,2025. - 191 с.(Науч.мысль)(п)</t>
  </si>
  <si>
    <t>ЦИФРОВОЕ ГРАЖДАНСТВО</t>
  </si>
  <si>
    <t>Иксанов И.С.</t>
  </si>
  <si>
    <t>978-5-16-019003-7</t>
  </si>
  <si>
    <t>720803.01.01</t>
  </si>
  <si>
    <t>Цифровое развит. экономики и прикладная информ... / Под ред. Кожевина О.В.-М.:НИЦ ИНФРА-М,2023.-171с(О)</t>
  </si>
  <si>
    <t>ЦИФРОВОЕ РАЗВИТИЕ ЭКОНОМИКИ И ПРИКЛАДНАЯ ИНФОРМАТИКА В УПРАВЛЕНИИ ТЕРРИТОРИЯМИ: ОПЫТ РОССИИ И КАЗАХСТАНА</t>
  </si>
  <si>
    <t>Бейсембай Е., Вдовкина Е.Г., Егорова М.А. и др.</t>
  </si>
  <si>
    <t>978-5-16-017984-1</t>
  </si>
  <si>
    <t>817796.01.01</t>
  </si>
  <si>
    <t>Цифровой суверенитет: актуальные проблемы..: Моногр. / А.В.Царегородцев-М.:НИЦ ИНФРА-М,2024.-209 с.(п)</t>
  </si>
  <si>
    <t>ЦИФРОВОЙ СУВЕРЕНИТЕТ: АКТУАЛЬНЫЕ ПРОБЛЕМЫ И РЕШЕНИЯ</t>
  </si>
  <si>
    <t>Царегородцев А.В., Романовский С.В.</t>
  </si>
  <si>
    <t>978-5-16-019460-8</t>
  </si>
  <si>
    <t>10.05.03, 10.05.04, 10.05.05, 10.05.07, 10.06.01, 38.04.04, 38.06.01, 40.04.01, 40.05.01, 40.06.01</t>
  </si>
  <si>
    <t>800971.05.01</t>
  </si>
  <si>
    <t>Цифровые платформы и экосистемы в гос. упр. / Под ред. Васильевой Е.В. - М.:НИЦ ИНФРА-М,2025 - 204 с.(п)</t>
  </si>
  <si>
    <t>ЦИФРОВЫЕ ПЛАТФОРМЫ И ЭКОСИСТЕМЫ В ГОСУДАРСТВЕННОМ УПРАВЛЕНИИ</t>
  </si>
  <si>
    <t>Васильева Е.В., Громова А.А., Зараменских Е.П. и др.</t>
  </si>
  <si>
    <t>978-5-16-018537-8</t>
  </si>
  <si>
    <t>09.03.02, 09.04.02, 38.03.04, 38.04.02, 38.04.03, 38.04.04, 38.04.09, 38.05.01, 38.06.01, 40.04.01, 40.05.01, 40.05.02, 40.05.04, 40.06.01, 41.03.06</t>
  </si>
  <si>
    <t>747340.03.01</t>
  </si>
  <si>
    <t>Цифровые трудовые платформы: новые формы орг...: Моногр. / Е.А.Савельева-М.:НИЦ ИНФРА-М,2023.-213 с.(О)</t>
  </si>
  <si>
    <t>ЦИФРОВЫЕ ТРУДОВЫЕ ПЛАТФОРМЫ: НОВЫЕ ФОРМЫ ОРГАНИЗАЦИИ И РЕГУЛИРОВАНИЯ ТРУДА</t>
  </si>
  <si>
    <t>Савельева Е.А.</t>
  </si>
  <si>
    <t>978-5-16-017186-9</t>
  </si>
  <si>
    <t>Научно-исследовательский институт труда и социального развития</t>
  </si>
  <si>
    <t>860820.01.01</t>
  </si>
  <si>
    <t>Частная криминалистич. теория обеспеч. безопас. участников... / А.В.Мишин - М.:НИЦ ИНФРА-М,2026. - 225 с.(п)</t>
  </si>
  <si>
    <t>ЧАСТНАЯ КРИМИНАЛИСТИЧЕСКАЯ ТЕОРИЯ ОБЕСПЕЧЕНИЯ БЕЗОПАСНОСТИ УЧАСТНИКОВ УГОЛОВНОГО СУДОПРОИЗВОДСТВА</t>
  </si>
  <si>
    <t>Мишин А.В.</t>
  </si>
  <si>
    <t>978-5-16-021250-0</t>
  </si>
  <si>
    <t>40.03.01, 40.05.02, 40.05.03, 40.05.04, 40.06.01, 40.03.02</t>
  </si>
  <si>
    <t>332400.04.01</t>
  </si>
  <si>
    <t>Человек в правовой сфере: личн.-деят. подход: Моногр. / Р.В.Шагиева-М.:Юр. НОРМА, НИЦ ИНФРА-М,2024-208с(о)</t>
  </si>
  <si>
    <t>ЧЕЛОВЕК В ПРАВОВОЙ СФЕРЕ: ЛИЧНОСТНО-ДЕЯТЕЛЬНОСТНЫЙ ПОДХОД</t>
  </si>
  <si>
    <t>Шагиева Р.В., Казаков В.Н.</t>
  </si>
  <si>
    <t>978-5-91768-588-5</t>
  </si>
  <si>
    <t>831794.01.01</t>
  </si>
  <si>
    <t>Человек в условиях совр. ист. вызова: идеи...: Моногр. / И.И.Кальной - М.:НИЦ ИНФРА-М,2025. - 352 с.(п)</t>
  </si>
  <si>
    <t>ЧЕЛОВЕК В УСЛОВИЯХ СОВРЕМЕННОГО ИСТОРИЧЕСКОГО ВЫЗОВА: ИДЕИ, ПРОЕКТЫ, ПРАКТИКА</t>
  </si>
  <si>
    <t>Кальной И.И., Жупник О.Н., Зябрева Г.А. и др.</t>
  </si>
  <si>
    <t>978-5-16-020270-9</t>
  </si>
  <si>
    <t>46.04.01, 47.03.01, 47.04.01</t>
  </si>
  <si>
    <t>734293.02.01</t>
  </si>
  <si>
    <t>Человек и его просвещение..: Моногр. / Под ред. Кального И.И. - М.:НИЦ ИНФРА-М,2022 - 336 с.(Науч.мысль)(О)</t>
  </si>
  <si>
    <t>ЧЕЛОВЕК И ЕГО ПРОСВЕЩЕНИЕ: ИДЕИ, ПРОЕКТЫ, ПРАКТИКА</t>
  </si>
  <si>
    <t>Володин А.Н., Габриелян А.М., Жупник О.Н. и др.</t>
  </si>
  <si>
    <t>978-5-16-016611-7</t>
  </si>
  <si>
    <t>00.03.04, 00.03.05, 00.03.11, 00.05.04, 00.05.05, 00.05.11</t>
  </si>
  <si>
    <t>657029.03.01</t>
  </si>
  <si>
    <t>Человек политический как нормативный тип личности в России.: Моногр. / А.В.Лубский-М.:НИЦ ИНФРА-М,2023-229с(О)</t>
  </si>
  <si>
    <t>ЧЕЛОВЕК ПОЛИТИЧЕСКИЙ КАК НОРМАТИВНЫЙ ТИП ЛИЧНОСТИ В РОССИИ: МЕНТАЛЬНАЯ МАТРИЦА И НОРМАТИВНАЯ МОДЕЛЬ ПОВЕДЕНИЯ</t>
  </si>
  <si>
    <t>Лубский А.В., Лубский Р.А.</t>
  </si>
  <si>
    <t>978-5-16-015683-5</t>
  </si>
  <si>
    <t>39.04.01, 39.06.01, 41.04.04, 41.06.01, 46.04.03, 51.06.01</t>
  </si>
  <si>
    <t>671332.03.01</t>
  </si>
  <si>
    <t>Человек рисующий. Отображение иерарх.и инверсив...: Моногр./ Д.А.Севостьянов-М.:НИЦ ИНФРА-М,2024-208с(П)</t>
  </si>
  <si>
    <t>ЧЕЛОВЕК РИСУЮЩИЙ. ОТОБРАЖЕНИЕ ИЕРАРХИЧЕСКИХ И ИНВЕРСИВНЫХ ОТНОШЕНИЙ В ГРАФИЧЕСКОЙ ДЕЯТЕЛЬНОСТИ</t>
  </si>
  <si>
    <t>978-5-16-013504-5</t>
  </si>
  <si>
    <t>31.05.02, 37.03.01, 37.05.01, 44.03.01, 44.03.02, 44.03.03, 44.03.04, 44.03.05, 44.05.01</t>
  </si>
  <si>
    <t>103200.10.01</t>
  </si>
  <si>
    <t>Человек, право, цивилизации: нормат.-ценност. измер.: Моногр. / Е.А.Лукашева - М.:Норма:ИНФРА-М, 2026 - 384 с. (п)</t>
  </si>
  <si>
    <t>ЧЕЛОВЕК, ПРАВО, ЦИВИЛИЗАЦИИ: НОРМАТИВНО-ЦЕННОСТНОЕ ИЗМЕРЕНИЕ</t>
  </si>
  <si>
    <t>Лукашева Е. А.</t>
  </si>
  <si>
    <t>978-5-91768-398-0</t>
  </si>
  <si>
    <t>753390.01.01</t>
  </si>
  <si>
    <t>Человек: индивид, индивидуал., личность: Моногр. / Под ред. Кального И.И.-М.:НИЦ ИНФРА-М,2022.-351 с.(Науч.мысль)(П)</t>
  </si>
  <si>
    <t>ЧЕЛОВЕК: ИНДИВИД, ИНДИВИДУАЛЬНОСТЬ, ЛИЧНОСТЬ</t>
  </si>
  <si>
    <t>Бельский В.Ю., Боровинская Д.Н., Воеводин А.П. и др.</t>
  </si>
  <si>
    <t>978-5-16-017105-0</t>
  </si>
  <si>
    <t>00.05.10, 00.05.11, 44.03.01, 47.04.01, 47.06.01, 51.04.01</t>
  </si>
  <si>
    <t>813143.01.01</t>
  </si>
  <si>
    <t>Человеческая идентичность в цифровую эпоху: Моногр. / Под ред. Евстратова Ю.А.-М.:НИЦ ИНФРА-М,2024.-140 с.(о)</t>
  </si>
  <si>
    <t>ЧЕЛОВЕЧЕСКАЯ ИДЕНТИЧНОСТЬ В ЦИФРОВУЮ ЭПОХУ: ГУМАНИТАРНЫЕ И СОЦИАЛЬНЫЕ АСПЕКТЫ</t>
  </si>
  <si>
    <t>Власова И.В., Гулый А.М., Гуров М.П. и др.</t>
  </si>
  <si>
    <t>978-5-16-019094-5</t>
  </si>
  <si>
    <t>37.03.01, 38.04.01, 38.06.01, 39.03.01, 39.04.01, 39.06.01, 39.07.01, 40.04.01, 40.06.01, 41.03.04, 41.06.01, 41.07.01, 44.04.01, 44.06.01, 44.07.01, 46.04.01, 46.06.01, 47.04.01, 47.06.01, 47.07.01</t>
  </si>
  <si>
    <t>667065.05.01</t>
  </si>
  <si>
    <t>Человеческий капитал организ. в разрезе..: Моногр. / Т.Е.Даниловских - М.:ИЦ РИОР,ИНФРА-М,2022-149с(О)</t>
  </si>
  <si>
    <t>ЧЕЛОВЕЧЕСКИЙ КАПИТАЛ ОРГАНИЗАЦИИ В РАЗРЕЗЕ ОЦЕНКИ СТОИМОСТИ БИЗНЕСА</t>
  </si>
  <si>
    <t>Даниловских Т.Е., Ворожбит О.Ю., Уксуменко А.А. и др.</t>
  </si>
  <si>
    <t>978-5-369-01714-2</t>
  </si>
  <si>
    <t>465450.08.01</t>
  </si>
  <si>
    <t>Человеческий капитал: теория и практика управ...: Моногр. / Р.М.Нижегородцев - М:ИНФРА-М,2025 - 290 с.(О)</t>
  </si>
  <si>
    <t>ЧЕЛОВЕЧЕСКИЙ КАПИТАЛ: ТЕОРИЯ И ПРАКТИКА УПРАВЛЕНИЯ В СОЦИАЛЬНО-ЭКОНОМИЧЕСКИХ СИСТЕМАХ</t>
  </si>
  <si>
    <t>Нижегородцев Р. М., Нижегородцев Р. М., Резник С. Д.</t>
  </si>
  <si>
    <t>978-5-16-009681-0</t>
  </si>
  <si>
    <t>38.03.01, 38.03.02, 38.03.03, 38.04.02, 38.04.03, 41.03.06</t>
  </si>
  <si>
    <t>782908.04.01</t>
  </si>
  <si>
    <t>Численные методы в оценке и прогнозир. качества...: Моногр. / А.В.Абрамов. - М.:НИЦ ИНФРА-М,2026. - 217 с.(О)</t>
  </si>
  <si>
    <t>ЧИСЛЕННЫЕ МЕТОДЫ В ОЦЕНКЕ И ПРОГНОЗИРОВАНИИ КАЧЕСТВА ТЕПЛОЗАЩИТНОЙ ОДЕЖДЫ</t>
  </si>
  <si>
    <t>Абрамов А.В., Родичева М.В., Шустов Ю.С.</t>
  </si>
  <si>
    <t>978-5-16-017848-6</t>
  </si>
  <si>
    <t>29.04.01, 29.04.02, 29.06.01</t>
  </si>
  <si>
    <t>688829.04.01</t>
  </si>
  <si>
    <t>Численные методы в строительстве: Моногр. / В.Т.Чемодуров. - М.:НИЦ ИНФРА-М,2026. - 151 с.(Науч.мысль)(О)</t>
  </si>
  <si>
    <t>ЧИСЛЕННЫЕ МЕТОДЫ В СТРОИТЕЛЬСТВЕ</t>
  </si>
  <si>
    <t>Чемодуров В.Т., Литвинова Э.В., Сеитжелилов М.С.</t>
  </si>
  <si>
    <t>978-5-16-014363-7</t>
  </si>
  <si>
    <t>664711.01.01</t>
  </si>
  <si>
    <t>Шэньчжэньский камертон. Трансформация модели эконом.. / В.Я.Потряков-М.:ИД ФОРУМ, НИЦ ИНФРА-М,2017-156с</t>
  </si>
  <si>
    <t>ШЭНЬЧЖЭНЬСКИЙ КАМЕРТОН. ТРАНСФОРМАЦИЯ МОДЕЛИ ЭКОНОМИЧЕСКОГО РОСТА В КИТАЕ И РАЗВИТИЕ ШЭНЬЧЖЭНЯ</t>
  </si>
  <si>
    <t>Потряков В.Я.</t>
  </si>
  <si>
    <t>978-5-8199-0684-2</t>
  </si>
  <si>
    <t>832026.01.01</t>
  </si>
  <si>
    <t>Эволюция  международного права от Версаля до Мюнхена... / И.З.Фархутдинов - М.:НИЦ ИНФРА-М,2026. - 496 с.(п)</t>
  </si>
  <si>
    <t>ЭВОЛЮЦИЯ  МЕЖДУНАРОДНОГО ПРАВА ОТ ВЕРСАЛЯ ДО МЮНХЕНА (1919-1938). МИФЫ И РЕАЛИИ</t>
  </si>
  <si>
    <t>978-5-16-020676-9</t>
  </si>
  <si>
    <t>40.04.01, 40.06.01, 41.04.04, 41.04.05, 41.06.01</t>
  </si>
  <si>
    <t>672661.04.01</t>
  </si>
  <si>
    <t>Эволюция государства: истор. динамика...: Моногр. / В.Я.Любашиц-М.:ИЦ РИОР,НИЦ ИНФРА-М,2023-533с(П)</t>
  </si>
  <si>
    <t>ЭВОЛЮЦИЯ ГОСУДАРСТВА: ИСТОРИЧЕСКАЯ ДИНАМИКА И ТЕОРЕТИЧЕСКАЯ МОДЕЛЬ</t>
  </si>
  <si>
    <t>Любашиц В.Я., Разуваев Н.В.</t>
  </si>
  <si>
    <t>978-5-369-01744-9</t>
  </si>
  <si>
    <t>663005.05.01</t>
  </si>
  <si>
    <t>Эволюция древнеславянского права...: Моногр. / А.В.Серегин-М.:НИЦ ИНФРА-М,2023-324с.(Науч. мысль)(о)</t>
  </si>
  <si>
    <t>ЭВОЛЮЦИЯ ДРЕВНЕСЛАВЯНСКОГО ПРАВА (ЭПОХА СРЕДНЕВЕКОВЬЯ: ОТ ОБЩИННО-ВЕЧЕВЫХ ИСТОКОВ К КРЕПОСТНИЧЕСТВУ)</t>
  </si>
  <si>
    <t>Серегин А.В.</t>
  </si>
  <si>
    <t>978-5-16-018013-7</t>
  </si>
  <si>
    <t>678511.05.01</t>
  </si>
  <si>
    <t>Эволюция концепции устойчивого развития в контексте ..: Моногр. / Т.В.Алферова - М.:НИЦ ИНФРА-М,2022-185 с.(О)</t>
  </si>
  <si>
    <t>ЭВОЛЮЦИЯ КОНЦЕПЦИИ УСТОЙЧИВОГО РАЗВИТИЯ В КОНТЕКСТЕ ИСТОРИЧЕСКИХ ПРОЦЕССОВ</t>
  </si>
  <si>
    <t>Алферова Т.В., Третьякова Е.А., Осипова М.Ю. и др.</t>
  </si>
  <si>
    <t>978-5-16-014048-3</t>
  </si>
  <si>
    <t>661732.03.01</t>
  </si>
  <si>
    <t>Эволюция культуры: Монография / С.В.Борзых - М.:НИЦ ИНФРА-М,2024.-142 с.(Науч.мысль)(О)</t>
  </si>
  <si>
    <t>ЭВОЛЮЦИЯ КУЛЬТУРЫ</t>
  </si>
  <si>
    <t>978-5-16-013860-2</t>
  </si>
  <si>
    <t>40.03.01, 44.03.01, 44.03.05, 47.03.01, 51.03.01, 51.03.04, 51.04.01</t>
  </si>
  <si>
    <t>822340.02.01</t>
  </si>
  <si>
    <t>Эволюция международного права - от Вестфаля до Версаля / И.З.Фархутдинов - М.:НИЦ ИНФРА-М,2024. - 484 с.(п)</t>
  </si>
  <si>
    <t>ЭВОЛЮЦИЯ МЕЖДУНАРОДНОГО ПРАВА - ОТ ВЕСТФАЛЯ ДО ВЕРСАЛЯ</t>
  </si>
  <si>
    <t>978-5-16-019746-3</t>
  </si>
  <si>
    <t>40.03.01, 40.04.01, 40.05.01, 40.05.02, 40.06.01, 41.03.05, 41.04.05, 41.06.01</t>
  </si>
  <si>
    <t>797736.02.01</t>
  </si>
  <si>
    <t>Эволюция науки истории права и гос. России (XVIII-XX) в.: моногр. / М.А.Кожевина - М.:Юр. НОРМА, НИЦ ИНФРА-М,2025. - 576 с.(п)</t>
  </si>
  <si>
    <t>ЭВОЛЮЦИЯ НАУКИ ИСТОРИИ ПРАВА И ГОСУДАРСТВА РОССИИ (XVIII-XX) ВЕКА</t>
  </si>
  <si>
    <t>Кожевина М.А.</t>
  </si>
  <si>
    <t>978-5-00156-284-9</t>
  </si>
  <si>
    <t>845650.01.01</t>
  </si>
  <si>
    <t>Эволюция полномочий прокур. в России в сфере угол.-преслед... / Г.К.Жуков - М.:НИЦ ИНФРА-М,2025. - 451 с.(п)</t>
  </si>
  <si>
    <t>ЭВОЛЮЦИЯ ПОЛНОМОЧИЙ ПРОКУРОРА В РОССИИ В СФЕРЕ УГОЛОВНОГО ПРЕСЛЕДОВАНИЯ ЛИЦ, СОВЕРШИВШИХ ПРЕСТУПЛЕНИЯ (XVIII-XXI ВЕКА)</t>
  </si>
  <si>
    <t>Жуков Г.К.</t>
  </si>
  <si>
    <t>978-5-16-020545-8</t>
  </si>
  <si>
    <t>690054.04.01</t>
  </si>
  <si>
    <t>Эволюция понятийного аппарата педагог..: Моногр. / М.А.Галагузова - М.:НИЦ ИНФРА-М,2025 - 137 с.(Науч.мысль)(О)</t>
  </si>
  <si>
    <t>ЭВОЛЮЦИЯ ПОНЯТИЙНОГО АППАРАТА ПЕДАГОГИКИ И ОБРАЗОВАНИЯ</t>
  </si>
  <si>
    <t>Галагузова М.А., Штинова Г.Н.</t>
  </si>
  <si>
    <t>978-5-16-014479-5</t>
  </si>
  <si>
    <t>37.03.01, 37.05.01, 44.03.01, 44.03.03, 44.03.05, 44.04.04, 46.04.02, 49.03.03, 51.03.01, 51.03.02, 51.03.05, 51.03.06</t>
  </si>
  <si>
    <t>803411.03.01</t>
  </si>
  <si>
    <t>Эволюция права под воздействием цифровых технологий: Моногр. / Р.В.Амелин - М.:Юр. НОРМА,2025. - 280 с.(п)</t>
  </si>
  <si>
    <t>ЭВОЛЮЦИЯ ПРАВА ПОД ВОЗДЕЙСТВИЕМ ЦИФРОВЫХ ТЕХНОЛОГИЙ</t>
  </si>
  <si>
    <t>Амелин Р.В., Чаннов С.Е.</t>
  </si>
  <si>
    <t>978-5-00156-304-4</t>
  </si>
  <si>
    <t>640997.01.01</t>
  </si>
  <si>
    <t>Эволюция российских инстит.аграрного кредита:Моногр. / О.У.Авис-М.:ИЦ РИОР,НИЦ ИНФРА-М,2017-225с.(О)</t>
  </si>
  <si>
    <t>ЭВОЛЮЦИЯ РОССИЙСКИХ ИНСТИТУТОВ АГРАРНОГО КРЕДИТА: ОТ ДОМИНИРОВАНИЯ К СИСТЕМНОСТИ</t>
  </si>
  <si>
    <t>Авис О.У.</t>
  </si>
  <si>
    <t>978-5-369-01626-8</t>
  </si>
  <si>
    <t>38.03.01, 38.04.01, 38.04.02, 40.03.01, 44.03.05</t>
  </si>
  <si>
    <t>848910.01.01</t>
  </si>
  <si>
    <t>Эволюция российской государственности..: Моногр. / А.Ю.Саломатин -М.:ИЦ РИОР, НИЦ ИНФРА-М,2025.-281 с.(п)</t>
  </si>
  <si>
    <t>ЭВОЛЮЦИЯ РОССИЙСКОЙ ГОСУДАРСТВЕННОСТИ: СРАВНИТЕЛЬНЫЙ ЦИВИЛИЗАЦИОННО-МОДЕРНИЗАЦИОННЫЙ АНАЛИЗ</t>
  </si>
  <si>
    <t>Саломатин А.Ю., Гуляков А.Д., Бахлов И.В.</t>
  </si>
  <si>
    <t>978-5-369-01976-4</t>
  </si>
  <si>
    <t>00.05.18, 40.04.01, 40.05.01, 40.05.02, 40.05.03, 40.05.04, 40.06.01</t>
  </si>
  <si>
    <t>432100.07.01</t>
  </si>
  <si>
    <t>Эволюция, экология и этология медоносной пчелы: Моногр. / Е.К.Еськов - М.:НИЦ ИНФРА-М,2026. - 291 с.(п)</t>
  </si>
  <si>
    <t>ЭВОЛЮЦИЯ, ЭКОЛОГИЯ И ЭТОЛОГИЯ МЕДОНОСНОЙ ПЧЕЛЫ</t>
  </si>
  <si>
    <t>978-5-16-012149-9</t>
  </si>
  <si>
    <t>725296.01.01</t>
  </si>
  <si>
    <t>Экзистенциалы Шекспира: Монография / П.А.Горохов - М.:НИЦ ИНФРА-М,2021 - 218 с.(Науч.мысль)(О)</t>
  </si>
  <si>
    <t>ЭКЗИСТЕНЦИАЛЫ ШЕКСПИРА</t>
  </si>
  <si>
    <t>978-5-16-015883-9</t>
  </si>
  <si>
    <t>769695.01.01</t>
  </si>
  <si>
    <t>Экокомбайны как новый вид экозащитной техники: Моногр. / Б.С.Ксенофонтов-М.:НИЦ ИНФРА-М,2022.-190 с.(О)</t>
  </si>
  <si>
    <t>ЭКОКОМБАЙНЫ КАК НОВЫЙ ВИД ЭКОЗАЩИТНОЙ ТЕХНИКИ</t>
  </si>
  <si>
    <t>978-5-16-017406-8</t>
  </si>
  <si>
    <t>20.04.01, 20.04.02, 20.06.01, 20.07.01</t>
  </si>
  <si>
    <t>633416.03.01</t>
  </si>
  <si>
    <t>Экологическая безоп.морских природно-хоз.систем..:Моногр./ В.М.Питулько-М.:НИЦ ИНФРА-М,2023-317с.(П)</t>
  </si>
  <si>
    <t>ЭКОЛОГИЧЕСКАЯ БЕЗОПАСНОСТЬ МОРСКИХ ПРИРОДНО-ХОЗЯЙСТВЕННЫХ СИСТЕМ РОССИЙСКОЙ ПРИБАЛТИКИ</t>
  </si>
  <si>
    <t>Питулько В.М., Иванова В.В., Кулибаба В.В.</t>
  </si>
  <si>
    <t>978-5-16-012066-9</t>
  </si>
  <si>
    <t>05.03.06, 05.04.05, 06.04.01</t>
  </si>
  <si>
    <t>710007.06.01</t>
  </si>
  <si>
    <t>Экологическая конфликтология... / О.Л.Дубовик - М.:Юр.Норма, НИЦ ИНФРА-М,2026 - 280 с.(П)</t>
  </si>
  <si>
    <t>ЭКОЛОГИЧЕСКАЯ КОНФЛИКТОЛОГИЯ (ПРЕДУПРЕЖДЕНИЕ И РАЗРЕШЕНИЕ ЭКОЛОГО-ПРАВОВЫХ КОНФЛИКТОВ)</t>
  </si>
  <si>
    <t>Дубовик О.Л.</t>
  </si>
  <si>
    <t>978-5-91768-982-1</t>
  </si>
  <si>
    <t>752440.01.01</t>
  </si>
  <si>
    <t>Экологическая ответственность и фин. политика компании: методические...: Моногр. / А.С.Макаров, -М.:НИЦ ИНФРА-М,2022.-261 с.(О)</t>
  </si>
  <si>
    <t>ЭКОЛОГИЧЕСКАЯ ОТВЕТСТВЕННОСТЬ И ФИНАНСОВАЯ ПОЛИТИКА КОМПАНИИ: МЕТОДИЧЕСКИЕ АСПЕКТЫ АНАЛИЗА</t>
  </si>
  <si>
    <t>Макаров А.С., Хвостова И.Е., Рябова Е.В. и др.</t>
  </si>
  <si>
    <t>978-5-16-016853-1</t>
  </si>
  <si>
    <t>832351.01.01</t>
  </si>
  <si>
    <t>Экологические основы безотходных биотехнологич. производств/ Б.С.Ксенофонтов-М.:НИЦ ИНФРА-М,2025.-200 с.(п)</t>
  </si>
  <si>
    <t>ЭКОЛОГИЧЕСКИЕ ОСНОВЫ БЕЗОТХОДНЫХ БИОТЕХНОЛОГИЧЕСКИХ ПРОИЗВОДСТВ</t>
  </si>
  <si>
    <t>978-5-16-020039-2</t>
  </si>
  <si>
    <t>05.04.06, 19.03.01, 19.04.01</t>
  </si>
  <si>
    <t>849852.01.01</t>
  </si>
  <si>
    <t>Экологическое право: теория и совершенств..: Моногр. / Л.И.Брославский - М.:НИЦ ИНФРА-М,2025. - 163 с.(п)</t>
  </si>
  <si>
    <t>ЭКОЛОГИЧЕСКОЕ ПРАВО: ТЕОРИЯ И СОВЕРШЕНСТВОВАНИЕ ПРИРОДООХРАННОГО ЗАКОНОДАТЕЛЬСТВА</t>
  </si>
  <si>
    <t>Брославский Л.И.</t>
  </si>
  <si>
    <t>978-5-16-020666-0</t>
  </si>
  <si>
    <t>674636.04.01</t>
  </si>
  <si>
    <t>Экология и охрана окруж.среды: законы и реалии в США..../ Л.И.Брославский - М.:НИЦ ИНФРА-М,2024.-582с/(П)</t>
  </si>
  <si>
    <t>ЭКОЛОГИЯ И ОХРАНА ОКРУЖАЮЩЕЙ СРЕДЫ: ЗАКОНЫ И РЕАЛИИ В США, РОССИИ И ЕВРОСОЮЗА</t>
  </si>
  <si>
    <t>978-5-16-014110-7</t>
  </si>
  <si>
    <t>05.03.06, 06.04.01, 20.03.02, 40.03.01, 44.03.05</t>
  </si>
  <si>
    <t>777493.03.01</t>
  </si>
  <si>
    <t>Экология экранных искусств: Монография / А.И.Чупринский-М.:НИЦ ИНФРА-М,2024.-182 с..-(Науч.мысль)(о)</t>
  </si>
  <si>
    <t>ЭКОЛОГИЯ ЭКРАННЫХ ИСКУССТВ</t>
  </si>
  <si>
    <t>Чупринский А.И.</t>
  </si>
  <si>
    <t>978-5-16-017731-1</t>
  </si>
  <si>
    <t>42.03.04, 42.03.05, 42.04.04, 42.04.05, 42.06.01, 50.04.04, 55.05.05</t>
  </si>
  <si>
    <t>Белорусская государственная академия искусств</t>
  </si>
  <si>
    <t>649782.06.01</t>
  </si>
  <si>
    <t>Эколого-геологические проб.разр.нефтегаз...Прикаспия: Моногр. / О.И.Серебряков - М.:НИЦ ИНФРА-М,2026 - 308 с.(п)</t>
  </si>
  <si>
    <t>ЭКОЛОГО-ГЕОЛОГИЧЕСКИЕ ПРОБЛЕМЫ РАЗРАБОТКИ НЕФТЕГАЗОВЫХ МЕСТОРОЖДЕНИЙ ПРИКАСПИЯ</t>
  </si>
  <si>
    <t>Серебряков О.И., Попков В.И., Ларичев В.В., Серебряков А.О.</t>
  </si>
  <si>
    <t>978-5-16-012607-4</t>
  </si>
  <si>
    <t>777879.01.01</t>
  </si>
  <si>
    <t>Эколого-правовые огранич. и стимулы эконом. деят. в России / Н.И.Хлуденева - М.:НИЦ ИНФРА-М,2022-192 с.(П)</t>
  </si>
  <si>
    <t>ЭКОЛОГО-ПРАВОВЫЕ ОГРАНИЧЕНИЯ И СТИМУЛЫ ЭКОНОМИЧЕСКОЙ ДЕЯТЕЛЬНОСТИ В РОССИИ</t>
  </si>
  <si>
    <t>Хлуденева Н.И.</t>
  </si>
  <si>
    <t>978-5-16-017680-2</t>
  </si>
  <si>
    <t>38.03.01, 38.04.04, 38.06.01</t>
  </si>
  <si>
    <t>490150.05.01</t>
  </si>
  <si>
    <t>Экономика домашних хозяйств: Моногр. / В.М.Жеребин - М.:НИЦ ИНФРА-М,2026. - 231 с.(Науч.мысль)(п)</t>
  </si>
  <si>
    <t>ЭКОНОМИКА ДОМАШНИХ ХОЗЯЙСТВ</t>
  </si>
  <si>
    <t>Жеребин В.М., Романов А.Н.</t>
  </si>
  <si>
    <t>978-5-16-010855-1</t>
  </si>
  <si>
    <t>38.03.01, 38.03.02, 38.03.03, 38.03.04, 38.03.05, 38.03.06, 38.03.07, 38.05.01, 38.05.02, 40.03.01, 44.03.05</t>
  </si>
  <si>
    <t>838631.01.01</t>
  </si>
  <si>
    <t>Экономика замкнутого цикла: опыт, пробл., пути реш.: Моногр. / С.В.Мудрова. - М.:НИЦ ИНФРА-М,2025. - 229 с.(о)</t>
  </si>
  <si>
    <t>ЭКОНОМИКА ЗАМКНУТОГО ЦИКЛА: ОПЫТ, ПРОБЛЕМЫ, ПУТИ РЕШЕНИЯ</t>
  </si>
  <si>
    <t>Мудрова С.В., Амирова Н.Р., Саргина Л.В. и др.</t>
  </si>
  <si>
    <t>978-5-16-020291-4</t>
  </si>
  <si>
    <t>05.04.06, 38.04.01, 38.04.02, 38.04.04, 38.04.09, 38.05.01, 38.06.01</t>
  </si>
  <si>
    <t>229500.09.01</t>
  </si>
  <si>
    <t>Экономика знаний промыш. предпр.:  когнит. аспект: Моногр. / Н .А.Кипень - ИНФРА-М, 2026 - 118 с. (о)</t>
  </si>
  <si>
    <t>ЭКОНОМИКА ЗНАНИЙ ПРОМЫШЛЕННОГО ПРЕДПРИЯТИЯ: КОГНИТИВНЫЙ АСПЕКТ</t>
  </si>
  <si>
    <t>Кипень Н. А., Дудяшова В. П.</t>
  </si>
  <si>
    <t>978-5-16-009051-1</t>
  </si>
  <si>
    <t>38.03.01, 38.03.02, 38.03.03, 38.04.01, 38.04.02, 38.04.03</t>
  </si>
  <si>
    <t>776708.02.01</t>
  </si>
  <si>
    <t>Экономика и финансы региона: современные тенденции: Моногр. / М.М.Богданова-М.:НИЦ ИНФРА-М,2023.-228 с.(о)</t>
  </si>
  <si>
    <t>ЭКОНОМИКА И ФИНАНСЫ РЕГИОНА: СОВРЕМЕННЫЕ ТЕНДЕНЦИИ</t>
  </si>
  <si>
    <t>Богданова М.М., Воблая И.Н., Гаража Н.А. и др.</t>
  </si>
  <si>
    <t>978-5-16-017886-8</t>
  </si>
  <si>
    <t>704537.07.01</t>
  </si>
  <si>
    <t>Экономика и финансы СССР. 1979-1991 гг.: Моногр. / Р.Г.Кирсанов - М.:НИЦ ИНФРА-М,2024 - 219 с.(п)</t>
  </si>
  <si>
    <t>ЭКОНОМИКА И ФИНАНСЫ СССР. 1979-1991 ГГ.</t>
  </si>
  <si>
    <t>Кирсанов Р.Г.</t>
  </si>
  <si>
    <t>978-5-16-014941-7</t>
  </si>
  <si>
    <t>449350.06.01</t>
  </si>
  <si>
    <t>Экономика индустр.видов деятел.в России: Моногр./С.В.Казаков-М.:НИЦ ИНФРА-М,2023-304с.(Науч.мысль)(п)</t>
  </si>
  <si>
    <t>ЭКОНОМИКА ИНДУСТРИАЛЬНЫХ ВИДОВ ДЕЯТЕЛЬНОСТИ В РОССИИ</t>
  </si>
  <si>
    <t>Казаков С. В., Поздняков В. Я.</t>
  </si>
  <si>
    <t>978-5-16-009113-6</t>
  </si>
  <si>
    <t>681872.03.01</t>
  </si>
  <si>
    <t>Экономика кооперационно-сетевых  взаимод. Теор...: Моногр./ В.В.Куимов-М.:НИЦ ИНФРА-М, 2023-220с(О)</t>
  </si>
  <si>
    <t>ЭКОНОМИКА КООПЕРАЦИОННО-СЕТЕВЫХ  ВЗАИМОДЕЙСТВИЙ. ТЕОРИЯ. ПРАКТИКА. ВОЗМОЖНОСТИ</t>
  </si>
  <si>
    <t>Куимов В.В.</t>
  </si>
  <si>
    <t>978-5-16-014815-1</t>
  </si>
  <si>
    <t>38.03.01, 38.03.02, 38.03.04, 38.04.01, 38.04.02, 38.04.04</t>
  </si>
  <si>
    <t>304900.11.01</t>
  </si>
  <si>
    <t>Экономика Олимпийских игр: Моногр. / Р.М. Нуреев - М.: Норма:  НИЦ ИНФРА-М, 2026 - 144 с.(о)</t>
  </si>
  <si>
    <t>ЭКОНОМИКА ОЛИМПИЙСКИХ ИГР</t>
  </si>
  <si>
    <t>Нуреев Р. М., Маркина Е. В.</t>
  </si>
  <si>
    <t>978-5-91768-542-7</t>
  </si>
  <si>
    <t>078000.11.01</t>
  </si>
  <si>
    <t>Экономика от "А" до "Я": Тематический справочник / Г.М.Гукасьян - М.:НИЦ ИНФРА-М,2024 - 480 с.(П)</t>
  </si>
  <si>
    <t>ЭКОНОМИКА ОТ "А" ДО "Я": ТЕМАТИЧЕСКИЙ СПРАВОЧНИК</t>
  </si>
  <si>
    <t>Гукасьян Г. М.</t>
  </si>
  <si>
    <t>978-5-16-012527-5</t>
  </si>
  <si>
    <t>00.03.13, 00.05.13</t>
  </si>
  <si>
    <t>654632.05.01</t>
  </si>
  <si>
    <t>Экономика прибрежных зон и морских акваторий...: Моногр./ Коряков А.Г.-М.:НИЦ ИНФРА-М,2023.-274 с(П)</t>
  </si>
  <si>
    <t>ЭКОНОМИКА ПРИБРЕЖНЫХ ЗОН И МОРСКИХ АКВАТОРИЙ: АРХАНГЕЛЬСКАЯ ОБЛАСТЬ</t>
  </si>
  <si>
    <t>Коряков А.Г., Руденко Л.Г., Тумин В.М. и др.</t>
  </si>
  <si>
    <t>978-5-16-012688-3</t>
  </si>
  <si>
    <t>788685.01.01</t>
  </si>
  <si>
    <t>Экономика России и пенсионная система за 30 л.: Моногр. / А.П.Егоршин-М.:НИЦ ИНФРА-М,2023.-337 с.(п)</t>
  </si>
  <si>
    <t>ЭКОНОМИКА РОССИИ И ПЕНСИОННАЯ СИСТЕМА ЗА 30 ЛЕТ</t>
  </si>
  <si>
    <t>Егоршин А.П., Гуськова И.В., Елисеев Ю.А.</t>
  </si>
  <si>
    <t>978-5-16-018136-3</t>
  </si>
  <si>
    <t>38.04.01, 38.06.01, 39.03.02, 39.04.02, 39.06.01</t>
  </si>
  <si>
    <t>Нижегородский институт экономики и менеджмента</t>
  </si>
  <si>
    <t>462250.06.01</t>
  </si>
  <si>
    <t>Экономика России:проблемы роста и развития: Моногр. / Н.В.Расков - М.:НИЦ ИНФРА-М,2022 - 186(Науч.мысль)</t>
  </si>
  <si>
    <t>ЭКОНОМИКА РОССИИ: ПРОБЛЕМЫ РОСТА И РАЗВИТИЯ</t>
  </si>
  <si>
    <t>Расков Н.В.</t>
  </si>
  <si>
    <t>978-5-16-009559-2</t>
  </si>
  <si>
    <t>734006.03.01</t>
  </si>
  <si>
    <t>Экономика устойчивого промышленного роста...: Моногр. / В.М.Полетаева-М.:НИЦ ИНФРА-М,2023.-223 с.(О)</t>
  </si>
  <si>
    <t>ЭКОНОМИКА УСТОЙЧИВОГО ПРОМЫШЛЕННОГО РОСТА: ПОНЯТИЕ, ПРОБЛЕМЫ И ВОЗМОЖНЫЕ МЕХАНИЗМЫ ФОРМИРОВАНИЯ</t>
  </si>
  <si>
    <t>Полетаева В.М.</t>
  </si>
  <si>
    <t>978-5-16-016195-2</t>
  </si>
  <si>
    <t>802130.01.01</t>
  </si>
  <si>
    <t>Экономико-правовое воспитание и просв. населения: Моногр. / С.А.Баженова - М.:НИЦ ИНФРА-М,2025 - 229 с.(о)</t>
  </si>
  <si>
    <t>ЭКОНОМИКО-ПРАВОВОЕ ВОСПИТАНИЕ И ПРОСВЕЩЕНИЕ НАСЕЛЕНИЯ: ВАЖНОСТЬ, ЗНАЧИМОСТЬ, ПРАКТИКИ РЕАЛИЗАЦИИ</t>
  </si>
  <si>
    <t>Баженова С.А., Воблая И.Н., Гаража Н.А. и др.</t>
  </si>
  <si>
    <t>978-5-16-019786-9</t>
  </si>
  <si>
    <t>Финансовый университет при Правительстве Российской Федерации, Новороссийский ф-л</t>
  </si>
  <si>
    <t>757871.03.01</t>
  </si>
  <si>
    <t>Экономикс: завершение «спора двух Кембриджей»: Моногр. / В.С.Гродский - М.:ИЦ РИОР, НИЦ ИНФРА-М,2025 - 323 с.(О)</t>
  </si>
  <si>
    <t>ЭКОНОМИКС: ЗАВЕРШЕНИЕ «СПОРА ДВУХ КЕМБРИДЖЕЙ»</t>
  </si>
  <si>
    <t>978-5-369-01868-2</t>
  </si>
  <si>
    <t>00.03.13, 00.05.13, 38.04.01, 38.04.02, 38.05.01, 38.05.02, 38.06.01</t>
  </si>
  <si>
    <t>734726.03.01</t>
  </si>
  <si>
    <t>Экономическая безоп. хоз. субъектов. Сов. подходы / Н.Н.Макарова-М.:ИЦ РИОР, НИЦ ИНФРА-М,2023.-148с(О)</t>
  </si>
  <si>
    <t>ЭКОНОМИЧЕСКАЯ БЕЗОПАСНОСТЬ ХОЗЯЙСТВУЮЩИХ СУБЪЕКТОВ</t>
  </si>
  <si>
    <t>Макарова Н.Н.</t>
  </si>
  <si>
    <t>978-5-369-01858-3</t>
  </si>
  <si>
    <t>38.03.01, 38.05.01</t>
  </si>
  <si>
    <t>Российский университет кооперации, ф-л Волгоградский кооперативный институт</t>
  </si>
  <si>
    <t>766064.03.01</t>
  </si>
  <si>
    <t>Экономическая безопасность Рос. на совр. этапе...: Моногр. / Под ред. Гаджиева Н.Г.-М.:НИЦ ИНФРА-М,2023-233с(О)</t>
  </si>
  <si>
    <t>ЭКОНОМИЧЕСКАЯ БЕЗОПАСНОСТЬ РОССИИ НА СОВРЕМЕННОМ ЭТАПЕ СОЦИАЛЬНО-ЭКОНОМИЧЕСКОГО РАЗВИТИЯ ОБЩЕСТВА</t>
  </si>
  <si>
    <t>Гаджиев Н.Г., Коноваленко С.А., Киселева О.В. и др.</t>
  </si>
  <si>
    <t>978-5-16-017258-3</t>
  </si>
  <si>
    <t>38.03.01, 38.05.01, 38.06.01, 38.07.02</t>
  </si>
  <si>
    <t>264800.09.01</t>
  </si>
  <si>
    <t>Экономическая безопасность современной России...: Моногр./Т.Р.Орехова - М:НИЦ ИНФРА-М,2024-105с. (о)</t>
  </si>
  <si>
    <t>ЭКОНОМИЧЕСКАЯ БЕЗОПАСНОСТЬ СОВРЕМЕННОЙ РОССИИ В УСЛОВИЯХ КРИЗИСА</t>
  </si>
  <si>
    <t>Орехова Т.Р., Карагодина О.В., Орехов В.И.</t>
  </si>
  <si>
    <t>978-5-16-009568-4</t>
  </si>
  <si>
    <t>337100.07.01</t>
  </si>
  <si>
    <t>Экономическая история: взгляд из XXI в...: Моногр. / И.Н.Шапкин - М.: Вуз.уч.,НИЦ ИНФРА-М, 2026  - 288 с. (О)</t>
  </si>
  <si>
    <t>ЭКОНОМИЧЕСКАЯ ИСТОРИЯ: ВЗГЛЯД ИЗ XXI ВЕКА. ИНСТИТУЦИОНАЛЬНЫЕ АСПЕКТЫ ТЕОРИИ И ПРАКТИКИ ХОЗЯЙСТВЕННОЙ ЖИЗНИ.</t>
  </si>
  <si>
    <t>Шапкин И.Н., Воскресенская Н.О., под ред.</t>
  </si>
  <si>
    <t>978-5-9558-0418-7</t>
  </si>
  <si>
    <t>842776.01.01</t>
  </si>
  <si>
    <t>Экономическая наука в «новой реальности»: Моногр. / М.Л.Альпидовская. - М.:НИЦ ИНФРА-М,2025. - 245 с.(п)</t>
  </si>
  <si>
    <t>ЭКОНОМИЧЕСКАЯ НАУКА В «НОВОЙ РЕАЛЬНОСТИ»: ОТ ДОГМЫ К ИСТИНЕ</t>
  </si>
  <si>
    <t>Альпидовская М.Л., Дамениа О.Н., Карасева Л.А. и др.</t>
  </si>
  <si>
    <t>978-5-16-020473-4</t>
  </si>
  <si>
    <t>815804.01.01</t>
  </si>
  <si>
    <t>Экономическая политика и инклюзив. производств. развитие... / И.Л.Беилин-М.:НИЦ ИНФРА-М,2024.-206 с.(о)</t>
  </si>
  <si>
    <t>ЭКОНОМИЧЕСКАЯ ПОЛИТИКА И ИНКЛЮЗИВНОЕ ПРОИЗВОДСТВЕННОЕ РАЗВИТИЕ НЕФТЕГАЗОВОГО РЕГИОНА</t>
  </si>
  <si>
    <t>978-5-16-019345-8</t>
  </si>
  <si>
    <t>38.03.01, 38.04.01, 38.04.02, 38.04.04</t>
  </si>
  <si>
    <t>849947.01.01</t>
  </si>
  <si>
    <t>Экономическая теория постиндустриал. общества: Моногр. / В.С.Гродский - М.:НИЦ ИНФРА-М,2025. - 373 с.(п)</t>
  </si>
  <si>
    <t>ЭКОНОМИЧЕСКАЯ ТЕОРИЯ ПОСТИНДУСТРИАЛЬНОГО ОБЩЕСТВА</t>
  </si>
  <si>
    <t>978-5-16-020706-3</t>
  </si>
  <si>
    <t>664100.02.01</t>
  </si>
  <si>
    <t>Экономические и соц.функции городов...: Моногр./ Т.Д.Белкина-М.:НИЦ ИНФРА-М,2019-206с(Науч.мысль)(П)</t>
  </si>
  <si>
    <t>ЭКОНОМИЧЕСКИЕ И СОЦИАЛЬНЫЕ ФУНКЦИИ ГОРОДОВ: МЕТОДОЛОГИЯ АНАЛИЗА</t>
  </si>
  <si>
    <t>Белкина Т.Д.</t>
  </si>
  <si>
    <t>978-5-16-013340-9</t>
  </si>
  <si>
    <t>712880.02.01</t>
  </si>
  <si>
    <t>Экономические исслед.: история, теория...: Моногр. / В.З.Баликоев - М.:НИЦ ИНФРА-М,2023 - 350 с.(П)</t>
  </si>
  <si>
    <t>ЭКОНОМИЧЕСКИЕ ИССЛЕДОВАНИЯ: ИСТОРИЯ, ТЕОРИЯ, МЕТОДОЛОГИЯ</t>
  </si>
  <si>
    <t>Баликоев В.З.</t>
  </si>
  <si>
    <t>978-5-16-015476-3</t>
  </si>
  <si>
    <t>780376.03.01</t>
  </si>
  <si>
    <t>Экономические кризисы и их влияние на экономику России / Под ред. Малкиной М.Ю.-М.:НИЦ ИНФРА-М,2025.-248 с.(п)</t>
  </si>
  <si>
    <t>ЭКОНОМИЧЕСКИЕ КРИЗИСЫ И ИХ ВЛИЯНИЕ НА ЭКОНОМИКУ РОССИИ</t>
  </si>
  <si>
    <t>Малкина М.Ю., Овчаров А.О., Виноградова А.В. и др.</t>
  </si>
  <si>
    <t>978-5-16-017934-6</t>
  </si>
  <si>
    <t>АКАДЕМУС, Победитель, II место</t>
  </si>
  <si>
    <t>673933.02.01</t>
  </si>
  <si>
    <t>Экономические основ.разв. новых форм трудовых отнош.: Моногр. / Р.А.Долженко-М.:НИЦ ИНФРА-М,2023.324с(П)</t>
  </si>
  <si>
    <t>ЭКОНОМИЧЕСКИЕ ОСНОВАНИЯ РАЗВИТИЯ НОВЫХ ФОРМ ТРУДОВЫХ ОТНОШЕНИЙ</t>
  </si>
  <si>
    <t>Долженко Р.А.</t>
  </si>
  <si>
    <t>978-5-16-014342-2</t>
  </si>
  <si>
    <t>38.03.02, 38.03.03</t>
  </si>
  <si>
    <t>833511.01.01</t>
  </si>
  <si>
    <t>Экономические экосистемы: Моногр. / Е.В.Попов и др. - М.:НИЦ ИНФРА-М,2024. - 356 с.(Науч.мысль)(п)</t>
  </si>
  <si>
    <t>ЭКОНОМИЧЕСКИЕ ЭКОСИСТЕМЫ</t>
  </si>
  <si>
    <t>Попов Е.В., Веретенникова А.Ю., Комарова О.В. и др.</t>
  </si>
  <si>
    <t>978-5-16-020183-2</t>
  </si>
  <si>
    <t>Учебник года-2025, Лауреат</t>
  </si>
  <si>
    <t>654747.09.01</t>
  </si>
  <si>
    <t>Экономический конституц. России: Моногр. / Н.С.Бондарь - 2 изд. - М.:Юр.НОРМА, НИЦ ИНФРА-М,2025 - 304 с.(п)</t>
  </si>
  <si>
    <t>ЭКОНОМИЧЕСКИЙ КОНСТИТУЦИОНАЛИЗМ РОССИИ:, ИЗД.2</t>
  </si>
  <si>
    <t>Бондарь Н.С.</t>
  </si>
  <si>
    <t>978-5-00156-407-2</t>
  </si>
  <si>
    <t>654747.08.01</t>
  </si>
  <si>
    <t>Экономический конституционализм России: очерки.. / Н.С.Бондарь-М.:Юр.Норма, НИЦ ИНФРА-М,2023-272с(П)</t>
  </si>
  <si>
    <t>ЭКОНОМИЧЕСКИЙ КОНСТИТУЦИОНАЛИЗМ РОССИИ: ОЧЕРКИ ТЕОРИИ И ПРАКТИКИ</t>
  </si>
  <si>
    <t>978-5-91768-829-9</t>
  </si>
  <si>
    <t>676978.02.01</t>
  </si>
  <si>
    <t>Экономический механизм развития жилищно-коммунал. компл.../ П.В.Немкин-М.:НИЦ ИНФРА-М,2023.-120 с.(О)</t>
  </si>
  <si>
    <t>ЭКОНОМИЧЕСКИЙ МЕХАНИЗМ РАЗВИТИЯ ЖИЛИЩНО-КОММУНАЛЬНОГО КОМПЛЕКСА КРУПНЫХ ГОРОДОВ РОССИИ</t>
  </si>
  <si>
    <t>Немкин П.В., Чекалин В.С.</t>
  </si>
  <si>
    <t>978-5-16-015475-6</t>
  </si>
  <si>
    <t>38.03.01, 38.03.10, 38.06.01</t>
  </si>
  <si>
    <t>838553.01.01</t>
  </si>
  <si>
    <t>Экономический суверенитет: факторы развития гос. в усл...: Моногр. / А.Ю.Филин - М.:НИЦ ИНФРА-М,2024 - 251 с.(п)</t>
  </si>
  <si>
    <t>ЭКОНОМИЧЕСКИЙ СУВЕРЕНИТЕТ: ФАКТОРЫ РАЗВИТИЯ ГОСУДАРСТВА В УСЛОВИЯХ ДЕГЛОБАЛИЗАЦИИ</t>
  </si>
  <si>
    <t>Филин А.Ю., Танимов О.В.</t>
  </si>
  <si>
    <t>978-5-16-020271-6</t>
  </si>
  <si>
    <t>00.03.40, 38.04.01, 38.04.08, 38.05.01, 38.06.01, 40.04.01, 40.06.01</t>
  </si>
  <si>
    <t>727255.02.01</t>
  </si>
  <si>
    <t>Экономия перевозочных ресурсов...: Моногр. / С.Е.Мишенин-М.:НИЦ ИНФРА-М,2024.-265 с.(О)(Науч.мысль)</t>
  </si>
  <si>
    <t>ЭКОНОМИЯ ПЕРЕВОЗОЧНЫХ РЕСУРСОВ: ОПЫТ ЖЕЛЕЗНОДОРОЖНИКОВ ЗАПАДНОЙ СИБИРИ 1965-1991 ГОДОВ</t>
  </si>
  <si>
    <t>Мишенин С.Е.</t>
  </si>
  <si>
    <t>978-5-16-016128-0</t>
  </si>
  <si>
    <t>Кузбасский региональный институт развития профессионального образования</t>
  </si>
  <si>
    <t>650253.02.01</t>
  </si>
  <si>
    <t>Экосемантика геополитич. пространства: Моногр. / Л.О.Терновая-М:НИЦ ИНФРА-М,2020-312с(Науч.мысль)(П)</t>
  </si>
  <si>
    <t>ЭКОСЕМАНТИКА ГЕОПОЛИТИЧЕСКОГО ПРОСТРАНСТВА</t>
  </si>
  <si>
    <t>978-5-16-012550-3</t>
  </si>
  <si>
    <t>05.03.06, 05.06.01, 41.04.04, 41.06.01, 46.06.01, 51.04.01, 51.06.01</t>
  </si>
  <si>
    <t>789947.03.01</t>
  </si>
  <si>
    <t>Экосистема вузов: трансформация рос. системы обр. / Под ред. Прокофьева С.Е. - М.:НИЦ ИНФРА-М,2025. - 485 с.(П)</t>
  </si>
  <si>
    <t>ЭКОСИСТЕМА ВУЗОВ: ТРАНСФОРМАЦИЯ РОССИЙСКОЙ СИСТЕМЫ ОБРАЗОВАНИЯ</t>
  </si>
  <si>
    <t>Прокофьев С.Е., Каменева Е.А., Солянникова С.П. и др.</t>
  </si>
  <si>
    <t>978-5-16-017986-5</t>
  </si>
  <si>
    <t>773685.01.01</t>
  </si>
  <si>
    <t>Экосистема фирмы: Моногр. / Е.В.Попов и др.-М.:НИЦ ИНФРА-М,2022.-311 с.(Науч.мысль)(П)</t>
  </si>
  <si>
    <t>ЭКОСИСТЕМА ФИРМЫ</t>
  </si>
  <si>
    <t>Попов Е.В., Симонова В.Л., Челак И.П.</t>
  </si>
  <si>
    <t>978-5-16-017643-7</t>
  </si>
  <si>
    <t>779636.01.01</t>
  </si>
  <si>
    <t>Экосистемные форматы и цифр. модели в переходе региона... / В.В.Куимов.-М.:НИЦ ИНФРА-М,2023.-307 с.(П)</t>
  </si>
  <si>
    <t>ЭКОСИСТЕМНЫЕ ФОРМАТЫ И ЦИФРОВЫЕ МОДЕЛИ В ПЕРЕХОДЕ РЕГИОНА К НОВОМУ ТЕХНОЛОГИЧЕСКОМУ УКЛАДУ</t>
  </si>
  <si>
    <t>Куимов В.В., Симонов К.В., Щербенко Е.В. и др.</t>
  </si>
  <si>
    <t>978-5-16-018421-0</t>
  </si>
  <si>
    <t>38.04.01, 38.04.04, 38.06.01, 41.03.02</t>
  </si>
  <si>
    <t>809856.01.01</t>
  </si>
  <si>
    <t>Экосистемы в ретейле или ретейл в экосистемах: Моногр. / В.П.Чеглов-М.:НИЦ ИНФРА-М,2024.-187 с(п)</t>
  </si>
  <si>
    <t>ЭКОСИСТЕМЫ В РЕТЕЙЛЕ ИЛИ РЕТЕЙЛ В ЭКОСИСТЕМАХ</t>
  </si>
  <si>
    <t>Чеглов В.П., Чеглов А.В.</t>
  </si>
  <si>
    <t>978-5-16-019004-4</t>
  </si>
  <si>
    <t>38.03.01, 38.03.02, 38.03.06, 38.04.01, 38.04.02, 38.04.06, 38.05.02, 38.06.01, 43.04.01</t>
  </si>
  <si>
    <t>729488.01.01</t>
  </si>
  <si>
    <t>Экспертиза нормативных прав.актов в сфере реализации промыш.полит.: Моногр.-М.:Юр.Норма,2020-216с(П)</t>
  </si>
  <si>
    <t>ЭКСПЕРТИЗА НОРМАТИВНЫХ ПРАВОВЫХ АКТОВ В СФЕРЕ РЕАЛИЗАЦИИ ПРОМЫШЛЕННОЙ ПОЛИТИКИ</t>
  </si>
  <si>
    <t>Дементьев А.Н., Дементьева О.А.</t>
  </si>
  <si>
    <t>978-5-00156-045-6</t>
  </si>
  <si>
    <t>823729.02.01</t>
  </si>
  <si>
    <t>Экстремизм в России: сущность, содержание...: Моногр. / М.П.Ситникова - М.:НИЦ ИНФРА-М,2026 - 184 с.(о)</t>
  </si>
  <si>
    <t>ЭКСТРЕМИЗМ В РОССИИ: СУЩНОСТЬ, СОДЕРЖАНИЕ, ПРОТИВОДЕЙСТВИЕ</t>
  </si>
  <si>
    <t>Ситникова М.П.</t>
  </si>
  <si>
    <t>978-5-16-019838-5</t>
  </si>
  <si>
    <t>ВЯТСКИЙ ГУМАНИТАРНО-ЭКОНОМИЧЕСКИЙ КОЛЛЕДЖ</t>
  </si>
  <si>
    <t>776798.04.01</t>
  </si>
  <si>
    <t>Экстремизм: теория и противодействие: Сл.-справ. / В.О.Давыдов - М.:НИЦ ИНФРА-М,2026. - 323 с.(п)</t>
  </si>
  <si>
    <t>ЭКСТРЕМИЗМ: ТЕОРИЯ И ПРОТИВОДЕЙСТВИЕ</t>
  </si>
  <si>
    <t>Давыдов В.О.</t>
  </si>
  <si>
    <t>978-5-16-017775-5</t>
  </si>
  <si>
    <t>741175.01.01</t>
  </si>
  <si>
    <t>Электроактивация сред в технологиях сельск. хоз...: Моногр. / Н.В.Ксенз-М.:НИЦ ИНФРА-М,2021.-306 с.(Науч.мысль)(О)</t>
  </si>
  <si>
    <t>ЭЛЕКТРОАКТИВАЦИЯ СРЕД В ТЕХНОЛОГИЯХ СЕЛЬСКОГО ХОЗЯЙСТВА КАК СПОСОБ ИНТЕНСИФИКАЦИИ ПРОИЗВОДСТВЕННЫХ ПРОЦЕССОВ</t>
  </si>
  <si>
    <t>Ксенз Н.В., Чеба Б.П., Юдаев И.В. и др.</t>
  </si>
  <si>
    <t>978-5-16-016462-5</t>
  </si>
  <si>
    <t>35.03.06, 35.04.06, 35.06.04</t>
  </si>
  <si>
    <t>Донской государственный аграрный университет, ф-л Азово-Черноморский инженерный институт</t>
  </si>
  <si>
    <t>653184.09.01</t>
  </si>
  <si>
    <t>Электронная б-ка в контексте электр. инф.-обр.среды..: Моногр. / М.В.Носков - М.:НИЦ ИНФРА-М,2025 - 106 с.(О)</t>
  </si>
  <si>
    <t>ЭЛЕКТРОННАЯ БИБЛИОТЕКА В КОНТЕКСТЕ ЭЛЕКТРОННОЙ ИНФОРМАЦИОННО-ОБРАЗОВАТЕЛЬНОЙ СРЕДЫ ВУЗА</t>
  </si>
  <si>
    <t>Носков М.В., Барышев Р.А., Манушкина М.М.</t>
  </si>
  <si>
    <t>978-5-16-012679-1</t>
  </si>
  <si>
    <t>788939.04.01</t>
  </si>
  <si>
    <t>Электронное голосование: рос.и зарубеж. опыт: Моногр. / В.И.Федоров - М.:НИЦ ИНФРА-М,2025. - 237 с.(п)</t>
  </si>
  <si>
    <t>ЭЛЕКТРОННОЕ ГОЛОСОВАНИЕ: РОССИЙСКИЙ И ЗАРУБЕЖНЫЙ ОПЫТ</t>
  </si>
  <si>
    <t>Федоров В.И.</t>
  </si>
  <si>
    <t>978-5-16-018036-6</t>
  </si>
  <si>
    <t>38.05.01, 39.04.01, 40.04.01, 40.05.01, 40.05.02, 40.05.03, 40.05.04, 41.04.04</t>
  </si>
  <si>
    <t>652894.07.01</t>
  </si>
  <si>
    <t>Электрооборудование и электроника автомобилей.: Сл.-справ. / С.М.Зуев - М.:НИЦ ИНФРА-М,2025 - 200 с.(П)</t>
  </si>
  <si>
    <t>ЭЛЕКТРООБОРУДОВАНИЕ И ЭЛЕКТРОНИКА АВТОМОБИЛЕЙ. КРАТКИЙ ТОЛКОВЫЙ РУССКО-АНГЛИЙСКИЙ ТЕРМИНОЛОГИЧЕСКИЙ СЛОВАРЬ</t>
  </si>
  <si>
    <t>Зуев С.М., Варламов Д.О., Лавриков А.А. и др.</t>
  </si>
  <si>
    <t>978-5-16-016826-5</t>
  </si>
  <si>
    <t>23.03.01, 23.03.02, 23.03.03, 23.04.02</t>
  </si>
  <si>
    <t>660118.04.01</t>
  </si>
  <si>
    <t>Электротехника электрометаллургических печей дугового..:Моногр./Ю.М.Миронов-М.:НИЦ ИНФРА-М,2024-336с(о)</t>
  </si>
  <si>
    <t>ЭЛЕКТРОТЕХНИКА ЭЛЕКТРОМЕТАЛЛУРГИЧЕСКИХ ПЕЧЕЙ ДУГОВОГО, РЕЗИСТИВНОГО И СМЕШАННОГО НАГРЕВА</t>
  </si>
  <si>
    <t>978-5-16-019545-2</t>
  </si>
  <si>
    <t>695694.03.01</t>
  </si>
  <si>
    <t>Элементарная экономика: Монография / В.С.Соловьев-М.:НИЦ ИНФРА-М,2023.-424 с.(П)</t>
  </si>
  <si>
    <t>ЭЛЕМЕНТАРНАЯ ЭКОНОМИКА</t>
  </si>
  <si>
    <t>978-5-16-014571-6</t>
  </si>
  <si>
    <t>38.03.01, 38.03.02, 38.04.01, 38.04.02, 38.04.04</t>
  </si>
  <si>
    <t>686297.09.01</t>
  </si>
  <si>
    <t>Элитные группы Центральной Азии...: Моногр. / Д.Д.Осинина - М.:НИЦ ИНФРА-М,2026 - 147 с.(О)</t>
  </si>
  <si>
    <t>ЭЛИТНЫЕ ГРУППЫ ЦЕНТРАЛЬНОЙ АЗИИ В БОЛЬШОЙ ГЕОПОЛИТИЧЕСКОЙ «ИГРЕ» РОССИИ, КНР И США В НАЧАЛЕ XXI  ВЕКА</t>
  </si>
  <si>
    <t>978-5-16-016410-6</t>
  </si>
  <si>
    <t>41.03.04, 41.03.05, 41.04.04, 41.04.05</t>
  </si>
  <si>
    <t>695043.03.01</t>
  </si>
  <si>
    <t>Элитология мифа: Монография / П.Л.Карабущенко - М.:НИЦ ИНФРА-М,2023 - 320 с.-(Науч.мысль)(о)</t>
  </si>
  <si>
    <t>ЭЛИТОЛОГИЯ МИФА</t>
  </si>
  <si>
    <t>978-5-16-018133-2</t>
  </si>
  <si>
    <t>00.03.07, 00.03.11, 41.06.01, 47.06.01</t>
  </si>
  <si>
    <t>695041.02.01</t>
  </si>
  <si>
    <t>Элитология Платона (античные аспекты...): Моногр. / П.Л.Карабущенко - 2 изд.-М.:НИЦ ИНФРА-М,2023-348с(П)</t>
  </si>
  <si>
    <t>ЭЛИТОЛОГИЯ ПЛАТОНА (АНТИЧНЫЕ АСПЕКТЫ ФИЛОСОФИИ ИЗБРАННОСТИ), ИЗД.2</t>
  </si>
  <si>
    <t>978-5-16-014636-2</t>
  </si>
  <si>
    <t>187050.09.01</t>
  </si>
  <si>
    <t>Элтон Мэйо: теоретик и практик управ.: Моногр. / Л.А.Бурганова. - М:НИЦ ИНФРА-М,2026 - 111 с.(Науч.мысль)(о)</t>
  </si>
  <si>
    <t>ЭЛТОН МЭЙО: ТЕОРЕТИК И ПРАКТИК УПРАВЛЕНИЯ</t>
  </si>
  <si>
    <t>Бурганова Л. А., Савкина Е. Г.</t>
  </si>
  <si>
    <t>978-5-16-005629-6</t>
  </si>
  <si>
    <t>674005.10.01</t>
  </si>
  <si>
    <t>Эмоциональное отверж.реб.родителями...: Моногр. / Е.В.Голубева - М.:НИЦ ИНФРА-М,2025 - 186 с.(Науч.мысль)(О)</t>
  </si>
  <si>
    <t>ЭМОЦИОНАЛЬНОЕ ОТВЕРЖЕНИЕ РЕБЕНКА РОДИТЕЛЯМИ: ПРИЧИНЫ И ПОСЛЕДСТВИЯ</t>
  </si>
  <si>
    <t>Голубева Е.В., Истратова О.Н.</t>
  </si>
  <si>
    <t>978-5-16-013666-0</t>
  </si>
  <si>
    <t>37.03.01, 37.04.01, 44.03.02, 44.04.01, 44.04.02, 44.05.01</t>
  </si>
  <si>
    <t>674627.05.01</t>
  </si>
  <si>
    <t>Эмоциональный интеллект рук. в бизнес-процессах...: Моногр. / Е.А.Хлевная-М.:НИЦ ИНФРА-М,2024-259с(П)</t>
  </si>
  <si>
    <t>ЭМОЦИОНАЛЬНЫЙ ИНТЕЛЛЕКТ РУКОВОДИТЕЛЯ В БИЗНЕС-ПРОЦЕССАХ ОРГАНИЗАЦИИ</t>
  </si>
  <si>
    <t>Хлевная Е.А., Киселева Т.С.</t>
  </si>
  <si>
    <t>978-5-16-014245-6</t>
  </si>
  <si>
    <t>38.03.01, 38.03.02, 38.03.03, 38.04.02, 44.03.01</t>
  </si>
  <si>
    <t>670065.03.01</t>
  </si>
  <si>
    <t>Энергетическая напр. развит. жизни на планете Земля..:Моногр. / Н.С.Печуркин-М:НИЦ ИНФРА-М,СФУ,2022-405с(П)</t>
  </si>
  <si>
    <t>ЭНЕРГЕТИЧЕСКАЯ НАПРАВЛЕННОСТЬ РАЗВИТИЯ ЖИЗНИ НА ПЛАНЕТЕ ЗЕМЛЯ (ЭНЕРГИЯ И ЖИЗНЬ НА ЗЕМЛЕ)</t>
  </si>
  <si>
    <t>Печуркин Н.С.</t>
  </si>
  <si>
    <t>978-5-16-017945-2</t>
  </si>
  <si>
    <t>751276.03.01</t>
  </si>
  <si>
    <t>Энергетическая эффектив. сис. электрооборудования... / С.М.Зуев - М.:НИЦ ИНФРА-М,2025 - 170 с.(О)</t>
  </si>
  <si>
    <t>ЭНЕРГЕТИЧЕСКАЯ ЭФФЕКТИВНОСТЬ СИСТЕМ ЭЛЕКТРООБОРУДОВАНИЯ АВТОНОМНЫХ ОБЪЕКТОВ</t>
  </si>
  <si>
    <t>Зуев С.М., Малеев Р.А., Чернов А.Е.</t>
  </si>
  <si>
    <t>978-5-16-017104-3</t>
  </si>
  <si>
    <t>769155.02.01</t>
  </si>
  <si>
    <t>Энергетическая эффектив. строит. сис.: Моногр. / А.Д.Жуков.-М.:НИЦ ИНФРА-М,2023.-329 с.(Науч.мысль)(О)</t>
  </si>
  <si>
    <t>ЭНЕРГЕТИЧЕСКАЯ ЭФФЕКТИВНОСТЬ СТРОИТЕЛЬНЫХ СИСТЕМ</t>
  </si>
  <si>
    <t>Боброва Е.Ю., Бессонов И.В., Медникова Е.А.</t>
  </si>
  <si>
    <t>978-5-16-017479-2</t>
  </si>
  <si>
    <t>849964.01.01</t>
  </si>
  <si>
    <t>Энергетические ресурсы в рос. и мировой экономиках..: Моногр. / В.Л.Уланов - М.:НИЦ ИНФРА-М,2026. - 192 с.(о)</t>
  </si>
  <si>
    <t>ЭНЕРГЕТИЧЕСКИЕ РЕСУРСЫ В РОССИЙСКОЙ И МИРОВОЙ ЭКОНОМИКАХ: ОТ ТРАДИЦИОННЫХ УГЛЕВОДОРОДОВ К ВОЗОБНОВЛЯЕМЫМ ИСТОЧНИКАМ ЭНЕРГИИ</t>
  </si>
  <si>
    <t>Уланов В.Л.</t>
  </si>
  <si>
    <t>978-5-16-020725-4</t>
  </si>
  <si>
    <t>382300.11.01</t>
  </si>
  <si>
    <t>Энергосбережение в котельных устан.ТЭС..: Моногр. / А.А.Кудинов - М.:НИЦ ИНФРА-М,2025 - 320 с.(Науч.мысль)(п)</t>
  </si>
  <si>
    <t>ЭНЕРГОСБЕРЕЖЕНИЕ В КОТЕЛЬНЫХ УСТАНОВКАХ ТЭС И СИСТЕМ ТЕПЛОСНАБЖЕНИЯ</t>
  </si>
  <si>
    <t>Кудинов А.А., Зиганшина С.К.</t>
  </si>
  <si>
    <t>978-5-16-011155-1</t>
  </si>
  <si>
    <t>13.03.01, 13.04.01</t>
  </si>
  <si>
    <t>734144.02.01</t>
  </si>
  <si>
    <t>Энергоснабжение и энергоэффективность: Моногр. / Г.Ф.Ручкина - М.:НИЦ ИНФРА-М,2022 - 201 с.(О)</t>
  </si>
  <si>
    <t>ЭНЕРГОСНАБЖЕНИЕ И ЭНЕРГОЭФФЕКТИВНОСТЬ: АКТУАЛЬНЫЕ ПРОБЛЕМЫ ПРАВОВОГО РЕГУЛИРОВАНИЯ</t>
  </si>
  <si>
    <t>Ручкина Г.Ф., Демченко М.В., Барков А.В.</t>
  </si>
  <si>
    <t>978-5-16-016216-4</t>
  </si>
  <si>
    <t>38.04.01, 38.06.01, 40.03.01, 40.04.01, 40.06.01</t>
  </si>
  <si>
    <t>632784.06.01</t>
  </si>
  <si>
    <t>Энтропийная экономика...: Моногр. / C.А.Дятлов - М.:НИЦ ИНФРА-М,2026 - 350 с.(Науч.мысль)(П)</t>
  </si>
  <si>
    <t>ЭНТРОПИЙНАЯ ЭКОНОМИКА: МЕТОДОЛОГИЯ ИССЛЕДОВАНИЯ ГЛОБАЛЬНОГО КРИЗИСА</t>
  </si>
  <si>
    <t>Дятлов С.А.</t>
  </si>
  <si>
    <t>978-5-16-012028-7</t>
  </si>
  <si>
    <t>470500.06.01</t>
  </si>
  <si>
    <t>Энциклопедия рейтингов: экономика, общ.../А.М.Карминский-2 изд -М: ИД ФОРУМ,НИЦ ИНФРА-М,2024-446с(П)</t>
  </si>
  <si>
    <t>ЭНЦИКЛОПЕДИЯ РЕЙТИНГОВ: ЭКОНОМИКА, ОБЩЕСТВО, СПОРТ, ИЗД.2</t>
  </si>
  <si>
    <t>Карминский А.М., Полозов А.А.</t>
  </si>
  <si>
    <t>978-5-8199-0890-7</t>
  </si>
  <si>
    <t>38.03.01, 41.03.01, 41.03.06</t>
  </si>
  <si>
    <t>086240.07.01</t>
  </si>
  <si>
    <t>Эпоха глобализации и преступность: Монография/ В.В.Лунеев-М.:Юр.Норма, НИЦ ИНФРА-М,2024.-272 с.(О)</t>
  </si>
  <si>
    <t>ЭПОХА ГЛОБАЛИЗАЦИИ И ПРЕСТУПНОСТЬ</t>
  </si>
  <si>
    <t>Лунеев В.В.</t>
  </si>
  <si>
    <t>978-5-91768-636-3</t>
  </si>
  <si>
    <t>639301.07.01</t>
  </si>
  <si>
    <t>Эрнест Хемингуэй: легенда и реальность: Моногр. / Б.А.Гиленсон - М.:НИЦ ИНФРА-М,2026 - 206 с.(Науч.мысль)(П)</t>
  </si>
  <si>
    <t>ЭРНЕСТ ХЕМИНГУЭЙ: ЛЕГЕНДА И РЕАЛЬНОСТЬ</t>
  </si>
  <si>
    <t>978-5-16-012268-7</t>
  </si>
  <si>
    <t>41.03.06, 42.03.02, 42.03.03, 42.03.04</t>
  </si>
  <si>
    <t>801917.02.01</t>
  </si>
  <si>
    <t>Эстетика трансцендент.(непостижим.) в рус.дух.культ. конца XIX... / В.Д.Диденко-М.:НИЦ ИНФРА-М,2023.-152 с.(о)</t>
  </si>
  <si>
    <t>ЭСТЕТИКА ТРАНСЦЕНДЕНТНОГО (НЕПОСТИЖИМОГО) В РУССКОЙ ДУХОВНОЙ КУЛЬТУРЕ КОНЦА XIX- ПЕРВОЙ ПОЛОВИНЫ XX ВЕКА</t>
  </si>
  <si>
    <t>Диденко В.Д.</t>
  </si>
  <si>
    <t>978-5-16-018703-7</t>
  </si>
  <si>
    <t>50.04.01, 50.06.01, 51.04.01, 51.06.01</t>
  </si>
  <si>
    <t>724894.03.01</t>
  </si>
  <si>
    <t>Этика чел. достоинства: ист. и совр.: Моногр. / Ю.П.Воропаева - М.:НИЦ ИНФРА-М,2025 - 243 с.(Науч.мысль)(О)</t>
  </si>
  <si>
    <t>ЭТИКА ЧЕЛОВЕЧЕСКОГО ДОСТОИНСТВА: ИСТОРИЯ И СОВРЕМЕННОСТЬ</t>
  </si>
  <si>
    <t>Воропаева Ю.П., Коломиец Г.Г.</t>
  </si>
  <si>
    <t>978-5-16-015885-3</t>
  </si>
  <si>
    <t>706962.04.01</t>
  </si>
  <si>
    <t>Этиология, патогенез и основы профилактики семи метабол..: Моногр. / В.Н.Титов - М.:НИЦ ИНФРА-М,2025 - 378 с.(П)</t>
  </si>
  <si>
    <t>ЭТИОЛОГИЯ, ПАТОГЕНЕЗ И ОСНОВЫ ПРОФИЛАКТИКИ СЕМИ МЕТАБОЛИЧЕСКИХ ПАНДЕМИЙ — «БОЛЕЗНЕЙ ЦИВИЛИЗАЦИИ»</t>
  </si>
  <si>
    <t>Титов В.Н., Амелюшкина В.А., Тарасов А.В.</t>
  </si>
  <si>
    <t>978-5-16-015175-5</t>
  </si>
  <si>
    <t>758090.03.01</t>
  </si>
  <si>
    <t>Этические основы предварит. расслед.: Моногр. / А.В.Закомолдин - М.:ИЦ РИОР, НИЦ ИНФРА-М,2025 - 110 с.(О)</t>
  </si>
  <si>
    <t>ЭТИЧЕСКИЕ ОСНОВЫ ПРЕДВАРИТЕЛЬНОГО РАССЛЕДОВАНИЯ</t>
  </si>
  <si>
    <t>Закомолдин А.В., Кудзилов Д.Б.</t>
  </si>
  <si>
    <t>978-5-369-01870-5</t>
  </si>
  <si>
    <t>768791.02.01</t>
  </si>
  <si>
    <t>Этнический фактор в становл. и развитии федератив. гос.: Моногр. / А.Ю.Саломатин-М.:ИЦ РИОР, НИЦ ИНФРА-М,2023.-191 с.(П)</t>
  </si>
  <si>
    <t>ЭТНИЧЕСКИЙ ФАКТОР В СТАНОВЛЕНИИ И РАЗВИТИИ ФЕДЕРАТИВНЫХ ОТНОШЕНИЙ</t>
  </si>
  <si>
    <t>978-5-369-01887-3</t>
  </si>
  <si>
    <t>663732.06.01</t>
  </si>
  <si>
    <t>Этногерменевтика русской сказки: Моногр. / М.В.Пименова-М.:НИЦ ИНФРА-М,2024.-355 с.(Науч.мысль)(П)</t>
  </si>
  <si>
    <t>ЭТНОГЕРМЕНЕВТИКА РУССКОЙ СКАЗКИ</t>
  </si>
  <si>
    <t>Пименова М.В.</t>
  </si>
  <si>
    <t>978-5-16-013459-8</t>
  </si>
  <si>
    <t>Военная академия материально-технического обеспечения им. Генерала армии А.В. Хрулёва</t>
  </si>
  <si>
    <t>284100.08.01</t>
  </si>
  <si>
    <t>Этноцентризм в содержании отечеств. и зарубеж. школ. уч.: Моногр. / В.В.Ковригин -М.:ИНФРА-М, 2024-87с (о)</t>
  </si>
  <si>
    <t>ЭТНОЦЕНТРИЗМ В СОДЕРЖАНИИ ОТЕЧЕСТВЕННЫХ И ЗАРУБЕЖНЫХ ШКОЛЬНЫХ УЧЕБНИКОВ</t>
  </si>
  <si>
    <t>Ковригин В. В.</t>
  </si>
  <si>
    <t>978-5-16-009906-4</t>
  </si>
  <si>
    <t>37.03.01, 37.04.01, 39.03.01, 39.04.01, 44.03.01, 44.04.01, 46.03.01, 46.04.01</t>
  </si>
  <si>
    <t>678080.02.01</t>
  </si>
  <si>
    <t>Эффективная технология и оборуд. для электроэрозионной...: Моногр. / А.Ф.Бойко - М.:НИЦ ИНФРА-М,2023-298с-(О)</t>
  </si>
  <si>
    <t>ЭФФЕКТИВНАЯ ТЕХНОЛОГИЯ И ОБОРУДОВАНИЕ ДЛЯ ЭЛЕКТРОЭРОЗИОННОЙ ПРОШИВКИ ПРЕЦИЗИОННЫХ МИКРООТВЕРСТИЙ</t>
  </si>
  <si>
    <t>Бойко А.Ф.</t>
  </si>
  <si>
    <t>978-5-16-013744-5</t>
  </si>
  <si>
    <t>15.03.01, 15.03.04, 15.03.05, 15.04.04, 15.04.05</t>
  </si>
  <si>
    <t>255500.08.01</t>
  </si>
  <si>
    <t>Эффективное научное рук. аспирантами: Моногр. / С.Д.Резник - 2 изд. - М.:НИЦ ИНФРА-М,2024 - 152с(О)</t>
  </si>
  <si>
    <t>ЭФФЕКТИВНОЕ НАУЧНОЕ РУКОВОДСТВО АСПИРАНТАМИ, ИЗД.2</t>
  </si>
  <si>
    <t>Резник С. Д., Макарова С. Н., Резник С. Д.</t>
  </si>
  <si>
    <t>978-5-16-009453-3</t>
  </si>
  <si>
    <t>736598.01.01</t>
  </si>
  <si>
    <t>Эффективное упр. орг. и производ. структурами: Моногр. / Логиновский О.В. - М.:НИЦ ИНФРА-М,2020-450 с(П)</t>
  </si>
  <si>
    <t>ЭФФЕКТИВНОЕ УПРАВЛЕНИЕ ОРГАНИЗАЦИОННЫМИ И ПРОИЗВОДСТВЕННЫМИ СТРУКТУРАМИ</t>
  </si>
  <si>
    <t>Логиновский О.В., Голлай А.В., Дранко О.И. и др.</t>
  </si>
  <si>
    <t>978-5-16-016217-1</t>
  </si>
  <si>
    <t>747291.04.01</t>
  </si>
  <si>
    <t>Эффективность адм.-правовых санкций: Моногр. / Л.Л.Попов - М.:Юр.Норма, НИЦ ИНФРА-М,2025 - 216 с.(П)</t>
  </si>
  <si>
    <t>ЭФФЕКТИВНОСТЬ АДМИНИСТРАТИВНО-ПРАВОВЫХ САНКЦИЙ</t>
  </si>
  <si>
    <t>978-5-00156-101-9</t>
  </si>
  <si>
    <t>837344.01.01</t>
  </si>
  <si>
    <t>Эффективность ветроагрегатов в Арктике и...: Моногр. / В.И.Буяльский - М.:НИЦ ИНФРА-М,2025. - 187 с.(о)</t>
  </si>
  <si>
    <t>ЭФФЕКТИВНОСТЬ ВЕТРОАГРЕГАТОВ В АРКТИКЕ И НА КРАЙНЕМ СЕВЕРЕ</t>
  </si>
  <si>
    <t>978-5-16-020227-3</t>
  </si>
  <si>
    <t>799968.04.01</t>
  </si>
  <si>
    <t>Эффективность науч. деят.: критерии прав. оценки / Н.В.Путило - М.:Юр. НОРМА, НИЦ ИНФРА-М,2026. - 204 с.(п)</t>
  </si>
  <si>
    <t>ЭФФЕКТИВНОСТЬ НАУЧНОЙ ДЕЯТЕЛЬНОСТИ: КРИТЕРИИ ПРАВОВОЙ ОЦЕНКИ</t>
  </si>
  <si>
    <t>Путило Н.В.</t>
  </si>
  <si>
    <t>978-5-00156-290-0</t>
  </si>
  <si>
    <t>683709.04.01</t>
  </si>
  <si>
    <t>Эффективность упр. кадрами гос. гражд. службы...: Моногр. / Н.Ф.Алтухова - М.:НИЦ ИНФРА-М,2022 - 221с(о)</t>
  </si>
  <si>
    <t>ЭФФЕКТИВНОСТЬ УПРАВЛЕНИЯ КАДРАМИ ГОСУДАРСТВЕННОЙ ГРАЖДАНСКОЙ СЛУЖБЫ В УСЛОВИЯХ РАЗВИТИЯ ЦИФРОВОЙ ЭКОНОМИКИ И ОБЩЕСТВА ЗНАНИЙ</t>
  </si>
  <si>
    <t>Алтухова Н.Ф., Бондаренко В.В., Васильева Е.В. и др.</t>
  </si>
  <si>
    <t>978-5-16-016453-3</t>
  </si>
  <si>
    <t>823037.01.01</t>
  </si>
  <si>
    <t>Эффективные приемы сепарации зерна..: Моногр./ Т.А.Клевцова - М.:НИЦ ИНФРА-М,2025-158 с.(Науч.мысль)(п)</t>
  </si>
  <si>
    <t>ЭФФЕКТИВНЫЕ ПРИЕМЫ СЕПАРАЦИИ ЗЕРНА ПРИ ПРОИЗВОДСТВЕ КОМБИКОРМОВ</t>
  </si>
  <si>
    <t>Клевцова Т.А.</t>
  </si>
  <si>
    <t>978-5-16-019791-3</t>
  </si>
  <si>
    <t>19.04.01</t>
  </si>
  <si>
    <t>Мелитопольский государственный университет</t>
  </si>
  <si>
    <t>433750.02.01</t>
  </si>
  <si>
    <t>Эффективный аутсорсинг:Мех. принятия упр.реш.:Моногр./И.В.Петрова-М:ИЦ РИОР:НИЦ ИНФРА-М,2017-108с(о)</t>
  </si>
  <si>
    <t>ЭФФЕКТИВНЫЙ АУТСОРСИНГ: МЕХАНИЗМ ПРИНЯТИЯ УПРАВЛЕНЧЕСКИХ РЕШЕНИЙ</t>
  </si>
  <si>
    <t>Петрова И. В.</t>
  </si>
  <si>
    <t>978-5-369-01197-3</t>
  </si>
  <si>
    <t>667743.04.01</t>
  </si>
  <si>
    <t>Ю.В. Бондарев: творческая эволюция писателя: Моногр. / Л.С.Шкурат - 2 изд. - М.:НИЦ ИНФРА-М,2022-252 с.(Науч.мысль)(П)</t>
  </si>
  <si>
    <t>Ю.В. БОНДАРЕВ: ТВОРЧЕСКАЯ ЭВОЛЮЦИЯ ПИСАТЕЛЯ, ИЗД.2</t>
  </si>
  <si>
    <t>Шкурат Л.С.</t>
  </si>
  <si>
    <t>978-5-16-013289-1</t>
  </si>
  <si>
    <t>767829.03.01</t>
  </si>
  <si>
    <t>Южнофранцузская готика: Моногр. / И.И.Орлов - М.:НИЦ ИНФРА-М,2026. - 426 с.(Науч.мысль)(П)</t>
  </si>
  <si>
    <t>ЮЖНОФРАНЦУЗСКАЯ ГОТИКА</t>
  </si>
  <si>
    <t>978-5-16-017331-3</t>
  </si>
  <si>
    <t>07.04.01, 07.06.01</t>
  </si>
  <si>
    <t>757873.02.01</t>
  </si>
  <si>
    <t>Юридическая отв. в правовой сис. России: Моногр. / А.В.Малько - М.:ИЦ РИОР, НИЦ ИНФРА-М,2022-590 с.(Науч.мысль)(П)</t>
  </si>
  <si>
    <t>ЮРИДИЧЕСКАЯ ОТВЕТСТВЕННОСТЬ В ПРАВОВОЙ СИСТЕМЕ РОССИИ</t>
  </si>
  <si>
    <t>Липинский Д.А., Макарейко Н.В., Станкин А.Н. и др.</t>
  </si>
  <si>
    <t>978-5-369-01891-0</t>
  </si>
  <si>
    <t>775334.01.01</t>
  </si>
  <si>
    <t>Юридическая отв. в правовой системе России / Под ред. Малько А.В. - М.:ИЦ РИОР, НИЦ ИНФРА-М,2022-263 с.(П)</t>
  </si>
  <si>
    <t>Липинский Д.А., Малько А.В., Мусаткина А.А. и др.</t>
  </si>
  <si>
    <t>978-5-369-01905-4</t>
  </si>
  <si>
    <t>444350.04.01</t>
  </si>
  <si>
    <t>Юридическая ответствен., санкции..:Моногр./Д.А.Липинский-М:ИЦ РИОР,НИЦ ИНФРА-М,2021-139с(Науч.мысль)</t>
  </si>
  <si>
    <t>ЮРИДИЧЕСКАЯ ОТВЕТСТВЕННОСТЬ, САНКЦИИ И МЕРЫ ЗАЩИТЫ</t>
  </si>
  <si>
    <t>Липинский Д. А., Мусаткина А. А.</t>
  </si>
  <si>
    <t>978-5-369-01226-0</t>
  </si>
  <si>
    <t>652383.05.01</t>
  </si>
  <si>
    <t>Юридические лица в рос. гражд. праве: Моногр.: В 3 т.Т.2 / А.А.Аюрова - М.:НИЦ ИНФРА-М,2025 - 352 с.(П)</t>
  </si>
  <si>
    <t>ЮРИДИЧЕСКИЕ ЛИЦА В РОССИЙСКОМ ГРАЖДАНСКОМ ПРАВЕ. В 3 Т., Т.2</t>
  </si>
  <si>
    <t>Аюрова А.А., Беляева О.А., Вильданова М.М. и др.</t>
  </si>
  <si>
    <t>978-5-16-011814-7</t>
  </si>
  <si>
    <t>652388.05.01</t>
  </si>
  <si>
    <t>Юридические лица в рос. гражд. праве: Моногр.: В 3 т.Т.3 / А.В.Габов - М.:НИЦ ИНФРА-М,2025 - 280 с.(П)</t>
  </si>
  <si>
    <t>ЮРИДИЧЕСКИЕ ЛИЦА В РОССИЙСКОМ ГРАЖДАНСКОМ ПРАВЕ. В 3 Т., Т.3</t>
  </si>
  <si>
    <t>Габов А.В., Гасников К.Д., Емельянцев В.П. и др.</t>
  </si>
  <si>
    <t>978-5-16-011815-4</t>
  </si>
  <si>
    <t>652378.05.01</t>
  </si>
  <si>
    <t>Юридические лица в рос.гражд.праве: Моногр.: В 3т.Т.1 / А.В.Габов -НИЦ ИНФРА-М,2025-384с.(ИЗиСП)(п)</t>
  </si>
  <si>
    <t>ЮРИДИЧЕСКИЕ ЛИЦА В РОССИЙСКОМ ГРАЖДАНСКОМ ПРАВЕ, Т.1</t>
  </si>
  <si>
    <t>Габов А.В., Гутников  О.В., Доронина Н.Г. и др.</t>
  </si>
  <si>
    <t>978-5-16-011513-9</t>
  </si>
  <si>
    <t>646031.09.01</t>
  </si>
  <si>
    <t>Юридические факты в советском праве / В.Б.Исаков - М.:Юр.Норма,НИЦ ИНФРА-М,2025 - 144 с.(П)</t>
  </si>
  <si>
    <t>ЮРИДИЧЕСКИЕ ФАКТЫ В СОВЕТСКОМ ПРАВЕ</t>
  </si>
  <si>
    <t>978-5-91768-792-6</t>
  </si>
  <si>
    <t>673550.03.01</t>
  </si>
  <si>
    <t>Юридический конфликт: Монография / О.А.Акопян и др.-М.:НИЦ ИНФРА-М,2019.-312 с..-(ИЗиСП)(П)</t>
  </si>
  <si>
    <t>ЮРИДИЧЕСКИЙ КОНФЛИКТ</t>
  </si>
  <si>
    <t>Акопян О.А., Бальхаева С.Б., Головина А.А. и др.</t>
  </si>
  <si>
    <t>978-5-16-013468-0</t>
  </si>
  <si>
    <t>083150.10.01</t>
  </si>
  <si>
    <t>Юридическое лицо публичного права: Моногр. / В.Е.Чиркин - М.:НОРМА,2025 - 352 с.(П)</t>
  </si>
  <si>
    <t>ЮРИДИЧЕСКОЕ ЛИЦО ПУБЛИЧНОГО ПРАВА</t>
  </si>
  <si>
    <t>978-5-00156-447-8</t>
  </si>
  <si>
    <t>764217.02.01</t>
  </si>
  <si>
    <t>Юридическое обр. в России и за рубежом: Моногр. / Т.Бочаров - М.:Юр. НОРМА, НИЦ ИНФРА-М,2022-232 с.(О)</t>
  </si>
  <si>
    <t>ЮРИДИЧЕСКОЕ ОБРАЗОВАНИЕ В РОССИИ И ЗА РУБЕЖОМ: МЕЖДУ УНИВЕРСИТЕТОМ, ПРОФЕССИЕЙ, ГОСУДАРСТВОМ И РЫНКОМ</t>
  </si>
  <si>
    <t>Бочаров Т., Дмитриева А.</t>
  </si>
  <si>
    <t>978-5-00156-192-7</t>
  </si>
  <si>
    <t>766164.02.01</t>
  </si>
  <si>
    <t>Язык настроения: Моногр. / В.К.Харченко - М.:НИЦ ИНФРА-М,2024 - 231 с.(Науч.мысль)(О)</t>
  </si>
  <si>
    <t>ЯЗЫК НАСТРОЕНИЯ</t>
  </si>
  <si>
    <t>978-5-16-017224-8</t>
  </si>
  <si>
    <t>45.03.99, 45.04.01, 45.04.02, 45.04.03, 45.06.01, 51.03.02, 51.06.01, 52.05.04</t>
  </si>
  <si>
    <t>661930.10.01</t>
  </si>
  <si>
    <t>Язык права: Моногр. / Н.А.Власенко - М.:Юр.Норма, НИЦ ИНФРА-М,2026 - 176 с.(П)</t>
  </si>
  <si>
    <t>ЯЗЫК ПРАВА</t>
  </si>
  <si>
    <t>978-5-91768-885-5</t>
  </si>
  <si>
    <t>794806.01.01</t>
  </si>
  <si>
    <t>Язык рук. социальной группы или «Танцы под дождем».: Моногр. / В.К.Харченко-М.:НИЦ ИНФРА-М,2023.-157 с.(о)</t>
  </si>
  <si>
    <t>ЯЗЫК РУКОВОДИТЕЛЯ СОЦИАЛЬНОЙ ГРУППЫ, ИЛИ «ТАНЦЫ ПОД ДОЖДЕМ».</t>
  </si>
  <si>
    <t>978-5-16-018106-6</t>
  </si>
  <si>
    <t>37.04.01, 37.04.02, 37.05.02, 39.04.01, 39.04.03, 39.06.01, 42.04.02, 42.06.01, 45.04.01, 45.06.01</t>
  </si>
  <si>
    <t>728274.04.01</t>
  </si>
  <si>
    <t>Язык. Речевая деят. Дискурс: Моногр. / В.М.Бурунский.-М.:НИЦ ИНФРА-М,2021.-164 с.(Науч.мысль)(О)</t>
  </si>
  <si>
    <t>ЯЗЫК. РЕЧЕВАЯ ДЕЯТЕЛЬНОСТЬ. ДИСКУРС</t>
  </si>
  <si>
    <t>Бурунский В.М., Гвоздев В.В., Девицкая З.Б. и др.</t>
  </si>
  <si>
    <t>978-5-16-015933-1</t>
  </si>
  <si>
    <t>788692.02.01</t>
  </si>
  <si>
    <t>Язык: жизнь смыслов vs  смысл жизни: Моногр. / Е.В.Белоглазова - М.:НИЦ ИНФРА-М,2024. - 294 с.(Науч.мысль)(п)</t>
  </si>
  <si>
    <t>ЯЗЫК: ЖИЗНЬ СМЫСЛОВ VS  СМЫСЛ ЖИЗНИ</t>
  </si>
  <si>
    <t>Белоглазова Е.В., Бобырева Е.В., Боженкова Н.А. и др.</t>
  </si>
  <si>
    <t>978-5-16-018258-2</t>
  </si>
  <si>
    <t>39.04.01, 39.06.01, 45.04.01, 45.04.02, 51.04.01, 51.06.01</t>
  </si>
  <si>
    <t>260200.11.01</t>
  </si>
  <si>
    <t>Языковая вариативность англ. яз. Великобритании, США...: Моногр./ Ж.Багана -М.:НИЦ ИНФРА-М,2023-124 с.(Науч.мысль)(о)</t>
  </si>
  <si>
    <t>ЯЗЫКОВАЯ ВАРИАТИВНОСТЬ АНГЛИЙСКОГО ЯЗЫКА ВЕЛИКОБРИТАНИИ, США И КАНАДЫ</t>
  </si>
  <si>
    <t>Багана Ж., Безрукая А. Н., Таранова Е. Н.</t>
  </si>
  <si>
    <t>978-5-16-009502-8</t>
  </si>
  <si>
    <t>842819.01.01</t>
  </si>
  <si>
    <t>Языковые идеологии и американский языковой империализм / М.А.Марусенко - М.:НИЦ ИНФРА-М,2025. - 240 с.(п)</t>
  </si>
  <si>
    <t>ЯЗЫКОВЫЕ ИДЕОЛОГИИ И АМЕРИКАНСКИЙ ЯЗЫКОВОЙ ИМПЕРИАЛИЗМ</t>
  </si>
  <si>
    <t>978-5-16-020391-1</t>
  </si>
  <si>
    <t>45.04.01, 45.04.02, 45.06.01</t>
  </si>
  <si>
    <t>818462.01.01</t>
  </si>
  <si>
    <t>Языковые средства создания информац. технологий..: Моногр. / Новосельцев В.И.-М.:НИЦ ИНФРА-М,2024.-245 с.(о)</t>
  </si>
  <si>
    <t>ЯЗЫКОВЫЕ СРЕДСТВА СОЗДАНИЯ ИНФОРМАЦИОННЫХ ТЕХНОЛОГИЙ ИНТЕЛЛЕКТУАЛЬНОЙ ПОДДЕРЖКИ ПРИНЯТИЯ РЕШЕНИЙ</t>
  </si>
  <si>
    <t>978-5-16-019567-4</t>
  </si>
  <si>
    <t>10.04.01, 10.05.01, 10.05.03, 10.05.04, 10.05.05, 10.06.01</t>
  </si>
  <si>
    <t>677008.02.01</t>
  </si>
  <si>
    <t>Ярмарки Тульской губернии в XIX - начале ХХ века: Моногр./ С.Е.Бочарова - М.:НИЦ ИНФРА-М,2026. - 216 с.(о)</t>
  </si>
  <si>
    <t>ЯРМАРКИ ТУЛЬСКОЙ ГУБЕРНИИ В XIX - НАЧАЛЕ ХХ ВЕКА</t>
  </si>
  <si>
    <t>Бочарова С.Е.</t>
  </si>
  <si>
    <t>978-5-16-021599-0</t>
  </si>
  <si>
    <t>38.03.06, 38.04.06</t>
  </si>
  <si>
    <t>Детская школа искусств № 1, г. Донской Тульской обл.</t>
  </si>
</sst>
</file>

<file path=xl/styles.xml><?xml version="1.0" encoding="utf-8"?>
<styleSheet xmlns="http://schemas.openxmlformats.org/spreadsheetml/2006/main">
  <numFmts count="1">
    <numFmt numFmtId="164" formatCode="[=0]&quot;&quot;;General"/>
  </numFmts>
  <fonts count="10">
    <font>
      <sz val="8"/>
      <name val="Arial"/>
    </font>
    <font>
      <b/>
      <sz val="11"/>
      <color rgb="FF000000"/>
      <name val="Calibri"/>
      <charset val="204"/>
    </font>
    <font>
      <b/>
      <sz val="16"/>
      <color rgb="FF000000"/>
      <name val="Calibri"/>
      <charset val="204"/>
    </font>
    <font>
      <b/>
      <u/>
      <sz val="11"/>
      <color rgb="FF000000"/>
      <name val="Calibri"/>
      <charset val="204"/>
    </font>
    <font>
      <sz val="11"/>
      <color rgb="FF000000"/>
      <name val="Calibri"/>
      <charset val="204"/>
    </font>
    <font>
      <u/>
      <sz val="11"/>
      <color rgb="FF0000FF"/>
      <name val="Calibri"/>
      <charset val="204"/>
    </font>
    <font>
      <sz val="8"/>
      <color rgb="FF000000"/>
      <name val="Arial"/>
      <charset val="204"/>
    </font>
    <font>
      <b/>
      <sz val="8"/>
      <color rgb="FF000000"/>
      <name val="Arial"/>
      <charset val="204"/>
    </font>
    <font>
      <u/>
      <sz val="8"/>
      <color rgb="FF0000FF"/>
      <name val="Calibri"/>
      <charset val="204"/>
    </font>
    <font>
      <u/>
      <sz val="8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AFAD2"/>
        <bgColor auto="1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4" fontId="6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right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5" fillId="0" borderId="1" xfId="0" applyFont="1" applyBorder="1" applyAlignment="1">
      <alignment horizontal="left" wrapText="1"/>
    </xf>
    <xf numFmtId="0" fontId="9" fillId="0" borderId="1" xfId="1" applyBorder="1" applyAlignment="1" applyProtection="1">
      <alignment horizontal="left" wrapText="1"/>
    </xf>
    <xf numFmtId="0" fontId="9" fillId="0" borderId="4" xfId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AB2731"/>
  <sheetViews>
    <sheetView tabSelected="1" workbookViewId="0">
      <selection sqref="A1:E1"/>
    </sheetView>
  </sheetViews>
  <sheetFormatPr defaultColWidth="10.5" defaultRowHeight="11.45" customHeight="1"/>
  <cols>
    <col min="1" max="1" width="5.83203125" style="1" customWidth="1"/>
    <col min="2" max="2" width="13.83203125" style="1" customWidth="1"/>
    <col min="3" max="3" width="10.5" style="1" customWidth="1"/>
    <col min="4" max="4" width="53.5" style="1" customWidth="1"/>
    <col min="5" max="5" width="52.6640625" style="1" customWidth="1"/>
    <col min="6" max="6" width="21" style="1" customWidth="1"/>
    <col min="7" max="7" width="13" style="1" customWidth="1"/>
    <col min="8" max="8" width="19.33203125" style="1" customWidth="1"/>
    <col min="9" max="9" width="33.6640625" style="1" customWidth="1"/>
    <col min="10" max="10" width="6.33203125" style="1" customWidth="1"/>
    <col min="11" max="11" width="8.5" style="1" customWidth="1"/>
    <col min="12" max="12" width="8.1640625" style="1" customWidth="1"/>
    <col min="13" max="13" width="21.1640625" style="1" customWidth="1"/>
    <col min="14" max="14" width="43.5" style="1" customWidth="1"/>
    <col min="15" max="15" width="35.5" style="1" customWidth="1"/>
    <col min="16" max="16" width="34" style="1" customWidth="1"/>
    <col min="17" max="17" width="38.1640625" style="1" customWidth="1"/>
    <col min="18" max="19" width="10.5" style="1" customWidth="1"/>
    <col min="20" max="20" width="15.33203125" style="1" customWidth="1"/>
    <col min="21" max="21" width="15.1640625" style="1" customWidth="1"/>
    <col min="22" max="22" width="20.33203125" style="1" customWidth="1"/>
    <col min="23" max="23" width="55.83203125" style="1" customWidth="1"/>
    <col min="24" max="27" width="10.5" style="1" customWidth="1"/>
    <col min="28" max="28" width="17.83203125" style="1" customWidth="1"/>
  </cols>
  <sheetData>
    <row r="1" spans="1:28" s="1" customFormat="1" ht="15" customHeight="1">
      <c r="A1" s="15" t="s">
        <v>0</v>
      </c>
      <c r="B1" s="15"/>
      <c r="C1" s="15"/>
      <c r="D1" s="15"/>
      <c r="E1" s="15"/>
      <c r="F1" s="16" t="s">
        <v>1</v>
      </c>
      <c r="G1" s="16"/>
      <c r="H1" s="16"/>
      <c r="I1" s="16"/>
      <c r="J1" s="18" t="s">
        <v>2</v>
      </c>
      <c r="K1" s="18"/>
      <c r="L1" s="18"/>
      <c r="M1" s="18"/>
      <c r="N1" s="18"/>
      <c r="O1" s="18"/>
    </row>
    <row r="2" spans="1:28" s="1" customFormat="1" ht="15" customHeight="1">
      <c r="A2" s="19" t="s">
        <v>3</v>
      </c>
      <c r="B2" s="19"/>
      <c r="C2" s="19"/>
      <c r="D2" s="19"/>
      <c r="E2" s="19"/>
      <c r="F2" s="17"/>
      <c r="G2" s="17"/>
      <c r="H2" s="17"/>
      <c r="I2" s="17"/>
      <c r="J2" s="20" t="s">
        <v>4</v>
      </c>
      <c r="K2" s="20"/>
      <c r="L2" s="20"/>
      <c r="M2" s="20"/>
      <c r="N2" s="20"/>
      <c r="O2" s="20"/>
    </row>
    <row r="3" spans="1:28" s="1" customFormat="1" ht="15" customHeight="1">
      <c r="A3" s="19" t="s">
        <v>5</v>
      </c>
      <c r="B3" s="19"/>
      <c r="C3" s="19"/>
      <c r="D3" s="19"/>
      <c r="E3" s="19"/>
      <c r="F3" s="17"/>
      <c r="G3" s="17"/>
      <c r="H3" s="17"/>
      <c r="I3" s="17"/>
      <c r="J3" s="21"/>
      <c r="K3" s="21"/>
      <c r="L3" s="21"/>
      <c r="M3" s="21"/>
      <c r="N3" s="21"/>
      <c r="O3" s="21"/>
    </row>
    <row r="4" spans="1:28" s="1" customFormat="1" ht="15" customHeight="1">
      <c r="A4" s="23" t="str">
        <f>HYPERLINK("mailto:books@infra-m.ru", "mailto:books@infra-m.ru")</f>
        <v>mailto:books@infra-m.ru</v>
      </c>
      <c r="B4" s="22"/>
      <c r="C4" s="22"/>
      <c r="D4" s="22"/>
      <c r="E4" s="22"/>
      <c r="F4" s="17"/>
      <c r="G4" s="17"/>
      <c r="H4" s="17"/>
      <c r="I4" s="17"/>
      <c r="J4" s="21"/>
      <c r="K4" s="21"/>
      <c r="L4" s="21"/>
      <c r="M4" s="21"/>
      <c r="N4" s="21"/>
      <c r="O4" s="21"/>
    </row>
    <row r="5" spans="1:28" s="1" customFormat="1" ht="15" customHeight="1">
      <c r="A5" s="23" t="str">
        <f>HYPERLINK("https://infra-m.ru", "https://infra-m.ru")</f>
        <v>https://infra-m.ru</v>
      </c>
      <c r="B5" s="22"/>
      <c r="C5" s="22"/>
      <c r="D5" s="22"/>
      <c r="E5" s="22"/>
      <c r="F5" s="17"/>
      <c r="G5" s="17"/>
      <c r="H5" s="17"/>
      <c r="I5" s="17"/>
      <c r="J5" s="21"/>
      <c r="K5" s="21"/>
      <c r="L5" s="21"/>
      <c r="M5" s="21"/>
      <c r="N5" s="21"/>
      <c r="O5" s="21"/>
    </row>
    <row r="6" spans="1:28" s="1" customFormat="1" ht="11.1" customHeight="1"/>
    <row r="7" spans="1:28" s="2" customFormat="1" ht="21.95" customHeight="1">
      <c r="A7" s="3" t="s">
        <v>6</v>
      </c>
      <c r="B7" s="3" t="s">
        <v>7</v>
      </c>
      <c r="C7" s="3" t="s">
        <v>8</v>
      </c>
      <c r="D7" s="3" t="s">
        <v>9</v>
      </c>
      <c r="E7" s="3" t="s">
        <v>10</v>
      </c>
      <c r="F7" s="3" t="s">
        <v>11</v>
      </c>
      <c r="G7" s="3" t="s">
        <v>12</v>
      </c>
      <c r="H7" s="3" t="s">
        <v>13</v>
      </c>
      <c r="I7" s="3" t="s">
        <v>14</v>
      </c>
      <c r="J7" s="3" t="s">
        <v>15</v>
      </c>
      <c r="K7" s="3" t="s">
        <v>16</v>
      </c>
      <c r="L7" s="3" t="s">
        <v>17</v>
      </c>
      <c r="M7" s="3" t="s">
        <v>18</v>
      </c>
      <c r="N7" s="3" t="s">
        <v>19</v>
      </c>
      <c r="O7" s="3" t="s">
        <v>20</v>
      </c>
      <c r="P7" s="3" t="s">
        <v>21</v>
      </c>
      <c r="Q7" s="3" t="s">
        <v>22</v>
      </c>
      <c r="R7" s="3" t="s">
        <v>23</v>
      </c>
      <c r="S7" s="3" t="s">
        <v>24</v>
      </c>
      <c r="T7" s="3" t="s">
        <v>25</v>
      </c>
      <c r="U7" s="3" t="s">
        <v>26</v>
      </c>
      <c r="V7" s="3" t="s">
        <v>27</v>
      </c>
      <c r="W7" s="3" t="s">
        <v>28</v>
      </c>
      <c r="X7" s="3" t="s">
        <v>29</v>
      </c>
      <c r="Y7" s="3" t="s">
        <v>30</v>
      </c>
      <c r="Z7" s="3" t="s">
        <v>31</v>
      </c>
      <c r="AA7" s="3" t="s">
        <v>32</v>
      </c>
      <c r="AB7" s="3" t="s">
        <v>33</v>
      </c>
    </row>
    <row r="8" spans="1:28" s="4" customFormat="1" ht="42" customHeight="1">
      <c r="A8" s="5">
        <v>0</v>
      </c>
      <c r="B8" s="6" t="s">
        <v>34</v>
      </c>
      <c r="C8" s="7">
        <v>1788</v>
      </c>
      <c r="D8" s="8" t="s">
        <v>35</v>
      </c>
      <c r="E8" s="8" t="s">
        <v>36</v>
      </c>
      <c r="F8" s="8" t="s">
        <v>37</v>
      </c>
      <c r="G8" s="6" t="s">
        <v>38</v>
      </c>
      <c r="H8" s="6" t="s">
        <v>39</v>
      </c>
      <c r="I8" s="8" t="s">
        <v>40</v>
      </c>
      <c r="J8" s="9">
        <v>1</v>
      </c>
      <c r="K8" s="9">
        <v>391</v>
      </c>
      <c r="L8" s="9">
        <v>2022</v>
      </c>
      <c r="M8" s="8" t="s">
        <v>41</v>
      </c>
      <c r="N8" s="8" t="s">
        <v>42</v>
      </c>
      <c r="O8" s="8" t="s">
        <v>43</v>
      </c>
      <c r="P8" s="6" t="s">
        <v>44</v>
      </c>
      <c r="Q8" s="8" t="s">
        <v>45</v>
      </c>
      <c r="R8" s="10" t="s">
        <v>46</v>
      </c>
      <c r="S8" s="11"/>
      <c r="T8" s="6"/>
      <c r="U8" s="24" t="str">
        <f>HYPERLINK("https://media.infra-m.ru/1861/1861000/cover/1861000.jpg", "Обложка")</f>
        <v>Обложка</v>
      </c>
      <c r="V8" s="24" t="str">
        <f>HYPERLINK("https://znanium.ru/catalog/product/1861000", "Ознакомиться")</f>
        <v>Ознакомиться</v>
      </c>
      <c r="W8" s="8" t="s">
        <v>47</v>
      </c>
      <c r="X8" s="6"/>
      <c r="Y8" s="6"/>
      <c r="Z8" s="6"/>
      <c r="AA8" s="6" t="s">
        <v>48</v>
      </c>
      <c r="AB8" s="8"/>
    </row>
    <row r="9" spans="1:28" s="4" customFormat="1" ht="42" customHeight="1">
      <c r="A9" s="5">
        <v>0</v>
      </c>
      <c r="B9" s="6" t="s">
        <v>49</v>
      </c>
      <c r="C9" s="7">
        <v>1432.8</v>
      </c>
      <c r="D9" s="8" t="s">
        <v>50</v>
      </c>
      <c r="E9" s="8" t="s">
        <v>51</v>
      </c>
      <c r="F9" s="8" t="s">
        <v>52</v>
      </c>
      <c r="G9" s="6" t="s">
        <v>38</v>
      </c>
      <c r="H9" s="6" t="s">
        <v>39</v>
      </c>
      <c r="I9" s="8" t="s">
        <v>40</v>
      </c>
      <c r="J9" s="9">
        <v>1</v>
      </c>
      <c r="K9" s="9">
        <v>229</v>
      </c>
      <c r="L9" s="9">
        <v>2026</v>
      </c>
      <c r="M9" s="8" t="s">
        <v>53</v>
      </c>
      <c r="N9" s="8" t="s">
        <v>54</v>
      </c>
      <c r="O9" s="8" t="s">
        <v>55</v>
      </c>
      <c r="P9" s="6" t="s">
        <v>44</v>
      </c>
      <c r="Q9" s="8" t="s">
        <v>45</v>
      </c>
      <c r="R9" s="10" t="s">
        <v>56</v>
      </c>
      <c r="S9" s="11"/>
      <c r="T9" s="6"/>
      <c r="U9" s="24" t="str">
        <f>HYPERLINK("https://media.infra-m.ru/2213/2213639/cover/2213639.jpg", "Обложка")</f>
        <v>Обложка</v>
      </c>
      <c r="V9" s="24" t="str">
        <f>HYPERLINK("https://znanium.ru/catalog/product/2131556", "Ознакомиться")</f>
        <v>Ознакомиться</v>
      </c>
      <c r="W9" s="8" t="s">
        <v>57</v>
      </c>
      <c r="X9" s="6"/>
      <c r="Y9" s="6"/>
      <c r="Z9" s="6"/>
      <c r="AA9" s="6" t="s">
        <v>58</v>
      </c>
      <c r="AB9" s="8" t="s">
        <v>59</v>
      </c>
    </row>
    <row r="10" spans="1:28" s="4" customFormat="1" ht="44.1" customHeight="1">
      <c r="A10" s="5">
        <v>0</v>
      </c>
      <c r="B10" s="6" t="s">
        <v>60</v>
      </c>
      <c r="C10" s="13">
        <v>600</v>
      </c>
      <c r="D10" s="8" t="s">
        <v>61</v>
      </c>
      <c r="E10" s="8" t="s">
        <v>62</v>
      </c>
      <c r="F10" s="8" t="s">
        <v>63</v>
      </c>
      <c r="G10" s="6" t="s">
        <v>38</v>
      </c>
      <c r="H10" s="6" t="s">
        <v>39</v>
      </c>
      <c r="I10" s="8" t="s">
        <v>40</v>
      </c>
      <c r="J10" s="9">
        <v>1</v>
      </c>
      <c r="K10" s="9">
        <v>100</v>
      </c>
      <c r="L10" s="9">
        <v>2023</v>
      </c>
      <c r="M10" s="8" t="s">
        <v>64</v>
      </c>
      <c r="N10" s="8" t="s">
        <v>42</v>
      </c>
      <c r="O10" s="8" t="s">
        <v>65</v>
      </c>
      <c r="P10" s="6" t="s">
        <v>44</v>
      </c>
      <c r="Q10" s="8" t="s">
        <v>45</v>
      </c>
      <c r="R10" s="10" t="s">
        <v>66</v>
      </c>
      <c r="S10" s="11"/>
      <c r="T10" s="6"/>
      <c r="U10" s="24" t="str">
        <f>HYPERLINK("https://media.infra-m.ru/1915/1915335/cover/1915335.jpg", "Обложка")</f>
        <v>Обложка</v>
      </c>
      <c r="V10" s="24" t="str">
        <f>HYPERLINK("https://znanium.ru/catalog/product/1915335", "Ознакомиться")</f>
        <v>Ознакомиться</v>
      </c>
      <c r="W10" s="8" t="s">
        <v>67</v>
      </c>
      <c r="X10" s="6"/>
      <c r="Y10" s="6"/>
      <c r="Z10" s="6"/>
      <c r="AA10" s="6" t="s">
        <v>68</v>
      </c>
      <c r="AB10" s="8"/>
    </row>
    <row r="11" spans="1:28" s="4" customFormat="1" ht="42" customHeight="1">
      <c r="A11" s="5">
        <v>0</v>
      </c>
      <c r="B11" s="6" t="s">
        <v>69</v>
      </c>
      <c r="C11" s="13">
        <v>696</v>
      </c>
      <c r="D11" s="8" t="s">
        <v>70</v>
      </c>
      <c r="E11" s="8" t="s">
        <v>71</v>
      </c>
      <c r="F11" s="8" t="s">
        <v>72</v>
      </c>
      <c r="G11" s="6" t="s">
        <v>38</v>
      </c>
      <c r="H11" s="6" t="s">
        <v>39</v>
      </c>
      <c r="I11" s="8" t="s">
        <v>40</v>
      </c>
      <c r="J11" s="9">
        <v>1</v>
      </c>
      <c r="K11" s="9">
        <v>156</v>
      </c>
      <c r="L11" s="9">
        <v>2021</v>
      </c>
      <c r="M11" s="8" t="s">
        <v>73</v>
      </c>
      <c r="N11" s="8" t="s">
        <v>54</v>
      </c>
      <c r="O11" s="8" t="s">
        <v>55</v>
      </c>
      <c r="P11" s="6" t="s">
        <v>44</v>
      </c>
      <c r="Q11" s="8" t="s">
        <v>45</v>
      </c>
      <c r="R11" s="10" t="s">
        <v>74</v>
      </c>
      <c r="S11" s="11"/>
      <c r="T11" s="6"/>
      <c r="U11" s="24" t="str">
        <f>HYPERLINK("https://media.infra-m.ru/1253/1253469/cover/1253469.jpg", "Обложка")</f>
        <v>Обложка</v>
      </c>
      <c r="V11" s="24" t="str">
        <f>HYPERLINK("https://znanium.ru/catalog/product/1253469", "Ознакомиться")</f>
        <v>Ознакомиться</v>
      </c>
      <c r="W11" s="8" t="s">
        <v>75</v>
      </c>
      <c r="X11" s="6"/>
      <c r="Y11" s="6"/>
      <c r="Z11" s="6"/>
      <c r="AA11" s="6" t="s">
        <v>76</v>
      </c>
      <c r="AB11" s="8"/>
    </row>
    <row r="12" spans="1:28" s="4" customFormat="1" ht="51.95" customHeight="1">
      <c r="A12" s="5">
        <v>0</v>
      </c>
      <c r="B12" s="6" t="s">
        <v>77</v>
      </c>
      <c r="C12" s="7">
        <v>2056.8000000000002</v>
      </c>
      <c r="D12" s="8" t="s">
        <v>78</v>
      </c>
      <c r="E12" s="8" t="s">
        <v>79</v>
      </c>
      <c r="F12" s="8" t="s">
        <v>80</v>
      </c>
      <c r="G12" s="6" t="s">
        <v>81</v>
      </c>
      <c r="H12" s="6" t="s">
        <v>39</v>
      </c>
      <c r="I12" s="8" t="s">
        <v>82</v>
      </c>
      <c r="J12" s="9">
        <v>1</v>
      </c>
      <c r="K12" s="9">
        <v>311</v>
      </c>
      <c r="L12" s="9">
        <v>2026</v>
      </c>
      <c r="M12" s="8" t="s">
        <v>83</v>
      </c>
      <c r="N12" s="8" t="s">
        <v>54</v>
      </c>
      <c r="O12" s="8" t="s">
        <v>55</v>
      </c>
      <c r="P12" s="6" t="s">
        <v>44</v>
      </c>
      <c r="Q12" s="8" t="s">
        <v>45</v>
      </c>
      <c r="R12" s="10" t="s">
        <v>84</v>
      </c>
      <c r="S12" s="11"/>
      <c r="T12" s="6"/>
      <c r="U12" s="24" t="str">
        <f>HYPERLINK("https://media.infra-m.ru/2218/2218065/cover/2218065.jpg", "Обложка")</f>
        <v>Обложка</v>
      </c>
      <c r="V12" s="24" t="str">
        <f>HYPERLINK("https://znanium.ru/catalog/product/2021467", "Ознакомиться")</f>
        <v>Ознакомиться</v>
      </c>
      <c r="W12" s="8" t="s">
        <v>85</v>
      </c>
      <c r="X12" s="6"/>
      <c r="Y12" s="6"/>
      <c r="Z12" s="6"/>
      <c r="AA12" s="6" t="s">
        <v>76</v>
      </c>
      <c r="AB12" s="8"/>
    </row>
    <row r="13" spans="1:28" s="4" customFormat="1" ht="51.95" customHeight="1">
      <c r="A13" s="5">
        <v>0</v>
      </c>
      <c r="B13" s="6" t="s">
        <v>86</v>
      </c>
      <c r="C13" s="7">
        <v>2296.8000000000002</v>
      </c>
      <c r="D13" s="8" t="s">
        <v>87</v>
      </c>
      <c r="E13" s="8" t="s">
        <v>88</v>
      </c>
      <c r="F13" s="8" t="s">
        <v>89</v>
      </c>
      <c r="G13" s="6" t="s">
        <v>81</v>
      </c>
      <c r="H13" s="6" t="s">
        <v>39</v>
      </c>
      <c r="I13" s="8" t="s">
        <v>40</v>
      </c>
      <c r="J13" s="9">
        <v>1</v>
      </c>
      <c r="K13" s="9">
        <v>382</v>
      </c>
      <c r="L13" s="9">
        <v>2025</v>
      </c>
      <c r="M13" s="8" t="s">
        <v>90</v>
      </c>
      <c r="N13" s="8" t="s">
        <v>54</v>
      </c>
      <c r="O13" s="8" t="s">
        <v>91</v>
      </c>
      <c r="P13" s="6" t="s">
        <v>44</v>
      </c>
      <c r="Q13" s="8" t="s">
        <v>45</v>
      </c>
      <c r="R13" s="10" t="s">
        <v>92</v>
      </c>
      <c r="S13" s="11"/>
      <c r="T13" s="6"/>
      <c r="U13" s="24" t="str">
        <f>HYPERLINK("https://media.infra-m.ru/2163/2163987/cover/2163987.jpg", "Обложка")</f>
        <v>Обложка</v>
      </c>
      <c r="V13" s="24" t="str">
        <f>HYPERLINK("https://znanium.ru/catalog/product/1859800", "Ознакомиться")</f>
        <v>Ознакомиться</v>
      </c>
      <c r="W13" s="8" t="s">
        <v>93</v>
      </c>
      <c r="X13" s="6"/>
      <c r="Y13" s="6"/>
      <c r="Z13" s="6"/>
      <c r="AA13" s="6" t="s">
        <v>94</v>
      </c>
      <c r="AB13" s="8"/>
    </row>
    <row r="14" spans="1:28" s="4" customFormat="1" ht="51.95" customHeight="1">
      <c r="A14" s="5">
        <v>0</v>
      </c>
      <c r="B14" s="6" t="s">
        <v>95</v>
      </c>
      <c r="C14" s="7">
        <v>1152</v>
      </c>
      <c r="D14" s="8" t="s">
        <v>96</v>
      </c>
      <c r="E14" s="8" t="s">
        <v>97</v>
      </c>
      <c r="F14" s="8" t="s">
        <v>98</v>
      </c>
      <c r="G14" s="6" t="s">
        <v>81</v>
      </c>
      <c r="H14" s="6" t="s">
        <v>99</v>
      </c>
      <c r="I14" s="8"/>
      <c r="J14" s="9">
        <v>1</v>
      </c>
      <c r="K14" s="9">
        <v>192</v>
      </c>
      <c r="L14" s="9">
        <v>2025</v>
      </c>
      <c r="M14" s="8" t="s">
        <v>100</v>
      </c>
      <c r="N14" s="8" t="s">
        <v>42</v>
      </c>
      <c r="O14" s="8" t="s">
        <v>101</v>
      </c>
      <c r="P14" s="6" t="s">
        <v>44</v>
      </c>
      <c r="Q14" s="8" t="s">
        <v>45</v>
      </c>
      <c r="R14" s="10" t="s">
        <v>102</v>
      </c>
      <c r="S14" s="11"/>
      <c r="T14" s="6"/>
      <c r="U14" s="24" t="str">
        <f>HYPERLINK("https://media.infra-m.ru/2179/2179213/cover/2179213.jpg", "Обложка")</f>
        <v>Обложка</v>
      </c>
      <c r="V14" s="24" t="str">
        <f>HYPERLINK("https://znanium.ru/catalog/product/2179213", "Ознакомиться")</f>
        <v>Ознакомиться</v>
      </c>
      <c r="W14" s="8" t="s">
        <v>103</v>
      </c>
      <c r="X14" s="6"/>
      <c r="Y14" s="6"/>
      <c r="Z14" s="6"/>
      <c r="AA14" s="6" t="s">
        <v>68</v>
      </c>
      <c r="AB14" s="8"/>
    </row>
    <row r="15" spans="1:28" s="4" customFormat="1" ht="44.1" customHeight="1">
      <c r="A15" s="5">
        <v>0</v>
      </c>
      <c r="B15" s="6" t="s">
        <v>104</v>
      </c>
      <c r="C15" s="7">
        <v>1464</v>
      </c>
      <c r="D15" s="8" t="s">
        <v>105</v>
      </c>
      <c r="E15" s="8" t="s">
        <v>106</v>
      </c>
      <c r="F15" s="8" t="s">
        <v>107</v>
      </c>
      <c r="G15" s="6" t="s">
        <v>38</v>
      </c>
      <c r="H15" s="6" t="s">
        <v>39</v>
      </c>
      <c r="I15" s="8" t="s">
        <v>40</v>
      </c>
      <c r="J15" s="9">
        <v>1</v>
      </c>
      <c r="K15" s="9">
        <v>235</v>
      </c>
      <c r="L15" s="9">
        <v>2026</v>
      </c>
      <c r="M15" s="8" t="s">
        <v>108</v>
      </c>
      <c r="N15" s="8" t="s">
        <v>54</v>
      </c>
      <c r="O15" s="8" t="s">
        <v>55</v>
      </c>
      <c r="P15" s="6" t="s">
        <v>44</v>
      </c>
      <c r="Q15" s="8" t="s">
        <v>45</v>
      </c>
      <c r="R15" s="10" t="s">
        <v>109</v>
      </c>
      <c r="S15" s="11"/>
      <c r="T15" s="6"/>
      <c r="U15" s="24" t="str">
        <f>HYPERLINK("https://media.infra-m.ru/2199/2199964/cover/2199964.jpg", "Обложка")</f>
        <v>Обложка</v>
      </c>
      <c r="V15" s="24" t="str">
        <f>HYPERLINK("https://znanium.ru/catalog/product/2199964", "Ознакомиться")</f>
        <v>Ознакомиться</v>
      </c>
      <c r="W15" s="8" t="s">
        <v>110</v>
      </c>
      <c r="X15" s="6"/>
      <c r="Y15" s="6"/>
      <c r="Z15" s="6"/>
      <c r="AA15" s="6" t="s">
        <v>111</v>
      </c>
      <c r="AB15" s="8"/>
    </row>
    <row r="16" spans="1:28" s="4" customFormat="1" ht="42" customHeight="1">
      <c r="A16" s="5">
        <v>0</v>
      </c>
      <c r="B16" s="6" t="s">
        <v>112</v>
      </c>
      <c r="C16" s="7">
        <v>2136</v>
      </c>
      <c r="D16" s="8" t="s">
        <v>113</v>
      </c>
      <c r="E16" s="8" t="s">
        <v>114</v>
      </c>
      <c r="F16" s="8" t="s">
        <v>115</v>
      </c>
      <c r="G16" s="6" t="s">
        <v>38</v>
      </c>
      <c r="H16" s="6" t="s">
        <v>39</v>
      </c>
      <c r="I16" s="8" t="s">
        <v>40</v>
      </c>
      <c r="J16" s="9">
        <v>1</v>
      </c>
      <c r="K16" s="9">
        <v>342</v>
      </c>
      <c r="L16" s="9">
        <v>2025</v>
      </c>
      <c r="M16" s="8" t="s">
        <v>116</v>
      </c>
      <c r="N16" s="8" t="s">
        <v>54</v>
      </c>
      <c r="O16" s="8" t="s">
        <v>117</v>
      </c>
      <c r="P16" s="6" t="s">
        <v>44</v>
      </c>
      <c r="Q16" s="8" t="s">
        <v>45</v>
      </c>
      <c r="R16" s="10" t="s">
        <v>118</v>
      </c>
      <c r="S16" s="11"/>
      <c r="T16" s="6"/>
      <c r="U16" s="24" t="str">
        <f>HYPERLINK("https://media.infra-m.ru/2214/2214244/cover/2214244.jpg", "Обложка")</f>
        <v>Обложка</v>
      </c>
      <c r="V16" s="24" t="str">
        <f>HYPERLINK("https://znanium.ru/catalog/product/2214244", "Ознакомиться")</f>
        <v>Ознакомиться</v>
      </c>
      <c r="W16" s="8" t="s">
        <v>75</v>
      </c>
      <c r="X16" s="6"/>
      <c r="Y16" s="6"/>
      <c r="Z16" s="6"/>
      <c r="AA16" s="6" t="s">
        <v>119</v>
      </c>
      <c r="AB16" s="8"/>
    </row>
    <row r="17" spans="1:28" s="4" customFormat="1" ht="51.95" customHeight="1">
      <c r="A17" s="5">
        <v>0</v>
      </c>
      <c r="B17" s="6" t="s">
        <v>120</v>
      </c>
      <c r="C17" s="7">
        <v>2028</v>
      </c>
      <c r="D17" s="8" t="s">
        <v>121</v>
      </c>
      <c r="E17" s="8" t="s">
        <v>122</v>
      </c>
      <c r="F17" s="8" t="s">
        <v>123</v>
      </c>
      <c r="G17" s="6" t="s">
        <v>38</v>
      </c>
      <c r="H17" s="6" t="s">
        <v>39</v>
      </c>
      <c r="I17" s="8" t="s">
        <v>40</v>
      </c>
      <c r="J17" s="9">
        <v>1</v>
      </c>
      <c r="K17" s="9">
        <v>317</v>
      </c>
      <c r="L17" s="9">
        <v>2026</v>
      </c>
      <c r="M17" s="8" t="s">
        <v>124</v>
      </c>
      <c r="N17" s="8" t="s">
        <v>42</v>
      </c>
      <c r="O17" s="8" t="s">
        <v>65</v>
      </c>
      <c r="P17" s="6" t="s">
        <v>44</v>
      </c>
      <c r="Q17" s="8" t="s">
        <v>45</v>
      </c>
      <c r="R17" s="10" t="s">
        <v>125</v>
      </c>
      <c r="S17" s="11"/>
      <c r="T17" s="6"/>
      <c r="U17" s="24" t="str">
        <f>HYPERLINK("https://media.infra-m.ru/2213/2213687/cover/2213687.jpg", "Обложка")</f>
        <v>Обложка</v>
      </c>
      <c r="V17" s="24" t="str">
        <f>HYPERLINK("https://znanium.ru/catalog/product/2213687", "Ознакомиться")</f>
        <v>Ознакомиться</v>
      </c>
      <c r="W17" s="8" t="s">
        <v>126</v>
      </c>
      <c r="X17" s="6"/>
      <c r="Y17" s="6"/>
      <c r="Z17" s="6"/>
      <c r="AA17" s="6" t="s">
        <v>127</v>
      </c>
      <c r="AB17" s="8"/>
    </row>
    <row r="18" spans="1:28" s="4" customFormat="1" ht="51.95" customHeight="1">
      <c r="A18" s="5">
        <v>0</v>
      </c>
      <c r="B18" s="6" t="s">
        <v>128</v>
      </c>
      <c r="C18" s="7">
        <v>1188</v>
      </c>
      <c r="D18" s="8" t="s">
        <v>129</v>
      </c>
      <c r="E18" s="8" t="s">
        <v>130</v>
      </c>
      <c r="F18" s="8" t="s">
        <v>131</v>
      </c>
      <c r="G18" s="6" t="s">
        <v>132</v>
      </c>
      <c r="H18" s="6" t="s">
        <v>39</v>
      </c>
      <c r="I18" s="8" t="s">
        <v>40</v>
      </c>
      <c r="J18" s="9">
        <v>1</v>
      </c>
      <c r="K18" s="9">
        <v>237</v>
      </c>
      <c r="L18" s="9">
        <v>2022</v>
      </c>
      <c r="M18" s="8" t="s">
        <v>133</v>
      </c>
      <c r="N18" s="8" t="s">
        <v>54</v>
      </c>
      <c r="O18" s="8" t="s">
        <v>91</v>
      </c>
      <c r="P18" s="6" t="s">
        <v>44</v>
      </c>
      <c r="Q18" s="8" t="s">
        <v>45</v>
      </c>
      <c r="R18" s="10" t="s">
        <v>134</v>
      </c>
      <c r="S18" s="11"/>
      <c r="T18" s="6"/>
      <c r="U18" s="24" t="str">
        <f>HYPERLINK("https://media.infra-m.ru/1818/1818427/cover/1818427.jpg", "Обложка")</f>
        <v>Обложка</v>
      </c>
      <c r="V18" s="24" t="str">
        <f>HYPERLINK("https://znanium.ru/catalog/product/1818427", "Ознакомиться")</f>
        <v>Ознакомиться</v>
      </c>
      <c r="W18" s="8" t="s">
        <v>93</v>
      </c>
      <c r="X18" s="6"/>
      <c r="Y18" s="6"/>
      <c r="Z18" s="6"/>
      <c r="AA18" s="6" t="s">
        <v>111</v>
      </c>
      <c r="AB18" s="8"/>
    </row>
    <row r="19" spans="1:28" s="4" customFormat="1" ht="42" customHeight="1">
      <c r="A19" s="5">
        <v>0</v>
      </c>
      <c r="B19" s="6" t="s">
        <v>135</v>
      </c>
      <c r="C19" s="7">
        <v>1296</v>
      </c>
      <c r="D19" s="8" t="s">
        <v>136</v>
      </c>
      <c r="E19" s="8" t="s">
        <v>137</v>
      </c>
      <c r="F19" s="8" t="s">
        <v>138</v>
      </c>
      <c r="G19" s="6" t="s">
        <v>81</v>
      </c>
      <c r="H19" s="6" t="s">
        <v>39</v>
      </c>
      <c r="I19" s="8" t="s">
        <v>40</v>
      </c>
      <c r="J19" s="9">
        <v>1</v>
      </c>
      <c r="K19" s="9">
        <v>195</v>
      </c>
      <c r="L19" s="9">
        <v>2026</v>
      </c>
      <c r="M19" s="8" t="s">
        <v>139</v>
      </c>
      <c r="N19" s="8" t="s">
        <v>54</v>
      </c>
      <c r="O19" s="8" t="s">
        <v>140</v>
      </c>
      <c r="P19" s="6" t="s">
        <v>44</v>
      </c>
      <c r="Q19" s="8" t="s">
        <v>45</v>
      </c>
      <c r="R19" s="10" t="s">
        <v>141</v>
      </c>
      <c r="S19" s="11"/>
      <c r="T19" s="6"/>
      <c r="U19" s="24" t="str">
        <f>HYPERLINK("https://media.infra-m.ru/2231/2231267/cover/2231267.jpg", "Обложка")</f>
        <v>Обложка</v>
      </c>
      <c r="V19" s="24" t="str">
        <f>HYPERLINK("https://znanium.ru/catalog/product/2231267", "Ознакомиться")</f>
        <v>Ознакомиться</v>
      </c>
      <c r="W19" s="8" t="s">
        <v>142</v>
      </c>
      <c r="X19" s="6"/>
      <c r="Y19" s="6"/>
      <c r="Z19" s="6"/>
      <c r="AA19" s="6" t="s">
        <v>58</v>
      </c>
      <c r="AB19" s="8"/>
    </row>
    <row r="20" spans="1:28" s="4" customFormat="1" ht="44.1" customHeight="1">
      <c r="A20" s="5">
        <v>0</v>
      </c>
      <c r="B20" s="6" t="s">
        <v>143</v>
      </c>
      <c r="C20" s="7">
        <v>1536</v>
      </c>
      <c r="D20" s="8" t="s">
        <v>144</v>
      </c>
      <c r="E20" s="8" t="s">
        <v>145</v>
      </c>
      <c r="F20" s="8" t="s">
        <v>146</v>
      </c>
      <c r="G20" s="6" t="s">
        <v>38</v>
      </c>
      <c r="H20" s="6" t="s">
        <v>39</v>
      </c>
      <c r="I20" s="8" t="s">
        <v>40</v>
      </c>
      <c r="J20" s="9">
        <v>1</v>
      </c>
      <c r="K20" s="9">
        <v>270</v>
      </c>
      <c r="L20" s="9">
        <v>2024</v>
      </c>
      <c r="M20" s="8" t="s">
        <v>147</v>
      </c>
      <c r="N20" s="8" t="s">
        <v>54</v>
      </c>
      <c r="O20" s="8" t="s">
        <v>55</v>
      </c>
      <c r="P20" s="6" t="s">
        <v>44</v>
      </c>
      <c r="Q20" s="8" t="s">
        <v>45</v>
      </c>
      <c r="R20" s="10" t="s">
        <v>148</v>
      </c>
      <c r="S20" s="11"/>
      <c r="T20" s="6"/>
      <c r="U20" s="24" t="str">
        <f>HYPERLINK("https://media.infra-m.ru/2144/2144239/cover/2144239.jpg", "Обложка")</f>
        <v>Обложка</v>
      </c>
      <c r="V20" s="24" t="str">
        <f>HYPERLINK("https://znanium.ru/catalog/product/2144239", "Ознакомиться")</f>
        <v>Ознакомиться</v>
      </c>
      <c r="W20" s="8" t="s">
        <v>149</v>
      </c>
      <c r="X20" s="6"/>
      <c r="Y20" s="6"/>
      <c r="Z20" s="6"/>
      <c r="AA20" s="6" t="s">
        <v>76</v>
      </c>
      <c r="AB20" s="8"/>
    </row>
    <row r="21" spans="1:28" s="4" customFormat="1" ht="51.95" customHeight="1">
      <c r="A21" s="5">
        <v>0</v>
      </c>
      <c r="B21" s="6" t="s">
        <v>150</v>
      </c>
      <c r="C21" s="7">
        <v>2760</v>
      </c>
      <c r="D21" s="8" t="s">
        <v>151</v>
      </c>
      <c r="E21" s="8" t="s">
        <v>152</v>
      </c>
      <c r="F21" s="8" t="s">
        <v>153</v>
      </c>
      <c r="G21" s="6" t="s">
        <v>132</v>
      </c>
      <c r="H21" s="6" t="s">
        <v>39</v>
      </c>
      <c r="I21" s="8" t="s">
        <v>40</v>
      </c>
      <c r="J21" s="9">
        <v>1</v>
      </c>
      <c r="K21" s="9">
        <v>436</v>
      </c>
      <c r="L21" s="9">
        <v>2025</v>
      </c>
      <c r="M21" s="8" t="s">
        <v>154</v>
      </c>
      <c r="N21" s="8" t="s">
        <v>42</v>
      </c>
      <c r="O21" s="8" t="s">
        <v>155</v>
      </c>
      <c r="P21" s="6" t="s">
        <v>44</v>
      </c>
      <c r="Q21" s="8" t="s">
        <v>45</v>
      </c>
      <c r="R21" s="10" t="s">
        <v>156</v>
      </c>
      <c r="S21" s="11"/>
      <c r="T21" s="6"/>
      <c r="U21" s="24" t="str">
        <f>HYPERLINK("https://media.infra-m.ru/2198/2198541/cover/2198541.jpg", "Обложка")</f>
        <v>Обложка</v>
      </c>
      <c r="V21" s="24" t="str">
        <f>HYPERLINK("https://znanium.ru/catalog/product/2198541", "Ознакомиться")</f>
        <v>Ознакомиться</v>
      </c>
      <c r="W21" s="8" t="s">
        <v>157</v>
      </c>
      <c r="X21" s="6" t="s">
        <v>158</v>
      </c>
      <c r="Y21" s="6"/>
      <c r="Z21" s="6"/>
      <c r="AA21" s="6" t="s">
        <v>159</v>
      </c>
      <c r="AB21" s="8"/>
    </row>
    <row r="22" spans="1:28" s="4" customFormat="1" ht="51.95" customHeight="1">
      <c r="A22" s="5">
        <v>0</v>
      </c>
      <c r="B22" s="6" t="s">
        <v>160</v>
      </c>
      <c r="C22" s="7">
        <v>1236</v>
      </c>
      <c r="D22" s="8" t="s">
        <v>161</v>
      </c>
      <c r="E22" s="8" t="s">
        <v>162</v>
      </c>
      <c r="F22" s="8" t="s">
        <v>163</v>
      </c>
      <c r="G22" s="6" t="s">
        <v>38</v>
      </c>
      <c r="H22" s="6" t="s">
        <v>39</v>
      </c>
      <c r="I22" s="8" t="s">
        <v>164</v>
      </c>
      <c r="J22" s="9">
        <v>1</v>
      </c>
      <c r="K22" s="9">
        <v>224</v>
      </c>
      <c r="L22" s="9">
        <v>2024</v>
      </c>
      <c r="M22" s="8" t="s">
        <v>165</v>
      </c>
      <c r="N22" s="8" t="s">
        <v>42</v>
      </c>
      <c r="O22" s="8" t="s">
        <v>65</v>
      </c>
      <c r="P22" s="6" t="s">
        <v>44</v>
      </c>
      <c r="Q22" s="8" t="s">
        <v>45</v>
      </c>
      <c r="R22" s="10" t="s">
        <v>166</v>
      </c>
      <c r="S22" s="11"/>
      <c r="T22" s="6"/>
      <c r="U22" s="24" t="str">
        <f>HYPERLINK("https://media.infra-m.ru/2126/2126340/cover/2126340.jpg", "Обложка")</f>
        <v>Обложка</v>
      </c>
      <c r="V22" s="12"/>
      <c r="W22" s="8" t="s">
        <v>167</v>
      </c>
      <c r="X22" s="6"/>
      <c r="Y22" s="6"/>
      <c r="Z22" s="6"/>
      <c r="AA22" s="6" t="s">
        <v>168</v>
      </c>
      <c r="AB22" s="8"/>
    </row>
    <row r="23" spans="1:28" s="4" customFormat="1" ht="42" customHeight="1">
      <c r="A23" s="5">
        <v>0</v>
      </c>
      <c r="B23" s="6" t="s">
        <v>169</v>
      </c>
      <c r="C23" s="7">
        <v>2116.8000000000002</v>
      </c>
      <c r="D23" s="8" t="s">
        <v>170</v>
      </c>
      <c r="E23" s="8" t="s">
        <v>171</v>
      </c>
      <c r="F23" s="8" t="s">
        <v>172</v>
      </c>
      <c r="G23" s="6" t="s">
        <v>81</v>
      </c>
      <c r="H23" s="6" t="s">
        <v>39</v>
      </c>
      <c r="I23" s="8" t="s">
        <v>173</v>
      </c>
      <c r="J23" s="9">
        <v>1</v>
      </c>
      <c r="K23" s="9">
        <v>352</v>
      </c>
      <c r="L23" s="9">
        <v>2025</v>
      </c>
      <c r="M23" s="8" t="s">
        <v>174</v>
      </c>
      <c r="N23" s="8" t="s">
        <v>42</v>
      </c>
      <c r="O23" s="8" t="s">
        <v>43</v>
      </c>
      <c r="P23" s="6" t="s">
        <v>44</v>
      </c>
      <c r="Q23" s="8" t="s">
        <v>45</v>
      </c>
      <c r="R23" s="10" t="s">
        <v>175</v>
      </c>
      <c r="S23" s="11"/>
      <c r="T23" s="6"/>
      <c r="U23" s="24" t="str">
        <f>HYPERLINK("https://media.infra-m.ru/2173/2173434/cover/2173434.jpg", "Обложка")</f>
        <v>Обложка</v>
      </c>
      <c r="V23" s="24" t="str">
        <f>HYPERLINK("https://znanium.ru/catalog/product/2016206", "Ознакомиться")</f>
        <v>Ознакомиться</v>
      </c>
      <c r="W23" s="8" t="s">
        <v>176</v>
      </c>
      <c r="X23" s="6"/>
      <c r="Y23" s="6"/>
      <c r="Z23" s="6"/>
      <c r="AA23" s="6" t="s">
        <v>177</v>
      </c>
      <c r="AB23" s="8"/>
    </row>
    <row r="24" spans="1:28" s="4" customFormat="1" ht="42" customHeight="1">
      <c r="A24" s="5">
        <v>0</v>
      </c>
      <c r="B24" s="6" t="s">
        <v>178</v>
      </c>
      <c r="C24" s="7">
        <v>2026.2</v>
      </c>
      <c r="D24" s="8" t="s">
        <v>179</v>
      </c>
      <c r="E24" s="8" t="s">
        <v>180</v>
      </c>
      <c r="F24" s="8" t="s">
        <v>181</v>
      </c>
      <c r="G24" s="6" t="s">
        <v>38</v>
      </c>
      <c r="H24" s="6" t="s">
        <v>182</v>
      </c>
      <c r="I24" s="8"/>
      <c r="J24" s="9">
        <v>20</v>
      </c>
      <c r="K24" s="9">
        <v>122</v>
      </c>
      <c r="L24" s="9">
        <v>2017</v>
      </c>
      <c r="M24" s="8"/>
      <c r="N24" s="8" t="s">
        <v>42</v>
      </c>
      <c r="O24" s="8" t="s">
        <v>101</v>
      </c>
      <c r="P24" s="6" t="s">
        <v>183</v>
      </c>
      <c r="Q24" s="8" t="s">
        <v>45</v>
      </c>
      <c r="R24" s="10"/>
      <c r="S24" s="11"/>
      <c r="T24" s="6"/>
      <c r="U24" s="24" t="str">
        <f>HYPERLINK("https://media.infra-m.ru/0882/0882724/cover/882724.jpg", "Обложка")</f>
        <v>Обложка</v>
      </c>
      <c r="V24" s="24" t="str">
        <f>HYPERLINK("https://znanium.ru/catalog/product/882724", "Ознакомиться")</f>
        <v>Ознакомиться</v>
      </c>
      <c r="W24" s="8"/>
      <c r="X24" s="6"/>
      <c r="Y24" s="6"/>
      <c r="Z24" s="6"/>
      <c r="AA24" s="6"/>
      <c r="AB24" s="8"/>
    </row>
    <row r="25" spans="1:28" s="4" customFormat="1" ht="44.1" customHeight="1">
      <c r="A25" s="5">
        <v>0</v>
      </c>
      <c r="B25" s="6" t="s">
        <v>184</v>
      </c>
      <c r="C25" s="7">
        <v>1944</v>
      </c>
      <c r="D25" s="8" t="s">
        <v>185</v>
      </c>
      <c r="E25" s="8" t="s">
        <v>186</v>
      </c>
      <c r="F25" s="8" t="s">
        <v>187</v>
      </c>
      <c r="G25" s="6" t="s">
        <v>132</v>
      </c>
      <c r="H25" s="6" t="s">
        <v>39</v>
      </c>
      <c r="I25" s="8" t="s">
        <v>164</v>
      </c>
      <c r="J25" s="9">
        <v>1</v>
      </c>
      <c r="K25" s="9">
        <v>426</v>
      </c>
      <c r="L25" s="9">
        <v>2022</v>
      </c>
      <c r="M25" s="8" t="s">
        <v>188</v>
      </c>
      <c r="N25" s="8" t="s">
        <v>42</v>
      </c>
      <c r="O25" s="8" t="s">
        <v>189</v>
      </c>
      <c r="P25" s="6" t="s">
        <v>44</v>
      </c>
      <c r="Q25" s="8" t="s">
        <v>45</v>
      </c>
      <c r="R25" s="10" t="s">
        <v>190</v>
      </c>
      <c r="S25" s="11"/>
      <c r="T25" s="6"/>
      <c r="U25" s="24" t="str">
        <f>HYPERLINK("https://media.infra-m.ru/1846/1846180/cover/1846180.jpg", "Обложка")</f>
        <v>Обложка</v>
      </c>
      <c r="V25" s="24" t="str">
        <f>HYPERLINK("https://znanium.ru/catalog/product/1846180", "Ознакомиться")</f>
        <v>Ознакомиться</v>
      </c>
      <c r="W25" s="8" t="s">
        <v>191</v>
      </c>
      <c r="X25" s="6"/>
      <c r="Y25" s="6"/>
      <c r="Z25" s="6"/>
      <c r="AA25" s="6" t="s">
        <v>111</v>
      </c>
      <c r="AB25" s="8"/>
    </row>
    <row r="26" spans="1:28" s="4" customFormat="1" ht="42" customHeight="1">
      <c r="A26" s="5">
        <v>0</v>
      </c>
      <c r="B26" s="6" t="s">
        <v>192</v>
      </c>
      <c r="C26" s="7">
        <v>1788</v>
      </c>
      <c r="D26" s="8" t="s">
        <v>193</v>
      </c>
      <c r="E26" s="8" t="s">
        <v>194</v>
      </c>
      <c r="F26" s="8" t="s">
        <v>195</v>
      </c>
      <c r="G26" s="6" t="s">
        <v>132</v>
      </c>
      <c r="H26" s="6" t="s">
        <v>39</v>
      </c>
      <c r="I26" s="8" t="s">
        <v>40</v>
      </c>
      <c r="J26" s="9">
        <v>1</v>
      </c>
      <c r="K26" s="9">
        <v>401</v>
      </c>
      <c r="L26" s="9">
        <v>2021</v>
      </c>
      <c r="M26" s="8" t="s">
        <v>196</v>
      </c>
      <c r="N26" s="8" t="s">
        <v>54</v>
      </c>
      <c r="O26" s="8" t="s">
        <v>91</v>
      </c>
      <c r="P26" s="6" t="s">
        <v>44</v>
      </c>
      <c r="Q26" s="8" t="s">
        <v>45</v>
      </c>
      <c r="R26" s="10" t="s">
        <v>197</v>
      </c>
      <c r="S26" s="11"/>
      <c r="T26" s="6"/>
      <c r="U26" s="24" t="str">
        <f>HYPERLINK("https://media.infra-m.ru/1064/1064931/cover/1064931.jpg", "Обложка")</f>
        <v>Обложка</v>
      </c>
      <c r="V26" s="24" t="str">
        <f>HYPERLINK("https://znanium.ru/catalog/product/1064931", "Ознакомиться")</f>
        <v>Ознакомиться</v>
      </c>
      <c r="W26" s="8" t="s">
        <v>198</v>
      </c>
      <c r="X26" s="6"/>
      <c r="Y26" s="6"/>
      <c r="Z26" s="6"/>
      <c r="AA26" s="6" t="s">
        <v>199</v>
      </c>
      <c r="AB26" s="8" t="s">
        <v>200</v>
      </c>
    </row>
    <row r="27" spans="1:28" s="4" customFormat="1" ht="44.1" customHeight="1">
      <c r="A27" s="5">
        <v>0</v>
      </c>
      <c r="B27" s="6" t="s">
        <v>201</v>
      </c>
      <c r="C27" s="7">
        <v>1512</v>
      </c>
      <c r="D27" s="8" t="s">
        <v>202</v>
      </c>
      <c r="E27" s="8" t="s">
        <v>203</v>
      </c>
      <c r="F27" s="8" t="s">
        <v>204</v>
      </c>
      <c r="G27" s="6" t="s">
        <v>132</v>
      </c>
      <c r="H27" s="6" t="s">
        <v>39</v>
      </c>
      <c r="I27" s="8" t="s">
        <v>40</v>
      </c>
      <c r="J27" s="9">
        <v>1</v>
      </c>
      <c r="K27" s="9">
        <v>251</v>
      </c>
      <c r="L27" s="9">
        <v>2024</v>
      </c>
      <c r="M27" s="8" t="s">
        <v>205</v>
      </c>
      <c r="N27" s="8" t="s">
        <v>42</v>
      </c>
      <c r="O27" s="8" t="s">
        <v>189</v>
      </c>
      <c r="P27" s="6" t="s">
        <v>44</v>
      </c>
      <c r="Q27" s="8" t="s">
        <v>45</v>
      </c>
      <c r="R27" s="10" t="s">
        <v>206</v>
      </c>
      <c r="S27" s="11"/>
      <c r="T27" s="6"/>
      <c r="U27" s="24" t="str">
        <f>HYPERLINK("https://media.infra-m.ru/2049/2049716/cover/2049716.jpg", "Обложка")</f>
        <v>Обложка</v>
      </c>
      <c r="V27" s="24" t="str">
        <f>HYPERLINK("https://znanium.ru/catalog/product/2049716", "Ознакомиться")</f>
        <v>Ознакомиться</v>
      </c>
      <c r="W27" s="8" t="s">
        <v>207</v>
      </c>
      <c r="X27" s="6"/>
      <c r="Y27" s="6"/>
      <c r="Z27" s="6"/>
      <c r="AA27" s="6" t="s">
        <v>58</v>
      </c>
      <c r="AB27" s="8"/>
    </row>
    <row r="28" spans="1:28" s="4" customFormat="1" ht="42" customHeight="1">
      <c r="A28" s="5">
        <v>0</v>
      </c>
      <c r="B28" s="6" t="s">
        <v>208</v>
      </c>
      <c r="C28" s="7">
        <v>1133.9000000000001</v>
      </c>
      <c r="D28" s="8" t="s">
        <v>209</v>
      </c>
      <c r="E28" s="8" t="s">
        <v>210</v>
      </c>
      <c r="F28" s="8" t="s">
        <v>211</v>
      </c>
      <c r="G28" s="6" t="s">
        <v>132</v>
      </c>
      <c r="H28" s="6" t="s">
        <v>39</v>
      </c>
      <c r="I28" s="8" t="s">
        <v>40</v>
      </c>
      <c r="J28" s="9">
        <v>1</v>
      </c>
      <c r="K28" s="9">
        <v>242</v>
      </c>
      <c r="L28" s="9">
        <v>2022</v>
      </c>
      <c r="M28" s="8" t="s">
        <v>212</v>
      </c>
      <c r="N28" s="8" t="s">
        <v>54</v>
      </c>
      <c r="O28" s="8" t="s">
        <v>91</v>
      </c>
      <c r="P28" s="6" t="s">
        <v>44</v>
      </c>
      <c r="Q28" s="8" t="s">
        <v>45</v>
      </c>
      <c r="R28" s="10" t="s">
        <v>213</v>
      </c>
      <c r="S28" s="11"/>
      <c r="T28" s="6"/>
      <c r="U28" s="24" t="str">
        <f>HYPERLINK("https://media.infra-m.ru/1859/1859837/cover/1859837.jpg", "Обложка")</f>
        <v>Обложка</v>
      </c>
      <c r="V28" s="24" t="str">
        <f>HYPERLINK("https://znanium.ru/catalog/product/1859837", "Ознакомиться")</f>
        <v>Ознакомиться</v>
      </c>
      <c r="W28" s="8" t="s">
        <v>214</v>
      </c>
      <c r="X28" s="6"/>
      <c r="Y28" s="6"/>
      <c r="Z28" s="6"/>
      <c r="AA28" s="6" t="s">
        <v>68</v>
      </c>
      <c r="AB28" s="8"/>
    </row>
    <row r="29" spans="1:28" s="4" customFormat="1" ht="51.95" customHeight="1">
      <c r="A29" s="5">
        <v>0</v>
      </c>
      <c r="B29" s="6" t="s">
        <v>215</v>
      </c>
      <c r="C29" s="7">
        <v>2124</v>
      </c>
      <c r="D29" s="8" t="s">
        <v>216</v>
      </c>
      <c r="E29" s="8" t="s">
        <v>217</v>
      </c>
      <c r="F29" s="8" t="s">
        <v>218</v>
      </c>
      <c r="G29" s="6" t="s">
        <v>81</v>
      </c>
      <c r="H29" s="6" t="s">
        <v>39</v>
      </c>
      <c r="I29" s="8" t="s">
        <v>40</v>
      </c>
      <c r="J29" s="9">
        <v>1</v>
      </c>
      <c r="K29" s="9">
        <v>384</v>
      </c>
      <c r="L29" s="9">
        <v>2024</v>
      </c>
      <c r="M29" s="8" t="s">
        <v>219</v>
      </c>
      <c r="N29" s="8" t="s">
        <v>220</v>
      </c>
      <c r="O29" s="8" t="s">
        <v>221</v>
      </c>
      <c r="P29" s="6" t="s">
        <v>44</v>
      </c>
      <c r="Q29" s="8" t="s">
        <v>45</v>
      </c>
      <c r="R29" s="10" t="s">
        <v>222</v>
      </c>
      <c r="S29" s="11"/>
      <c r="T29" s="6"/>
      <c r="U29" s="24" t="str">
        <f>HYPERLINK("https://media.infra-m.ru/2106/2106183/cover/2106183.jpg", "Обложка")</f>
        <v>Обложка</v>
      </c>
      <c r="V29" s="24" t="str">
        <f>HYPERLINK("https://znanium.ru/catalog/product/2106183", "Ознакомиться")</f>
        <v>Ознакомиться</v>
      </c>
      <c r="W29" s="8" t="s">
        <v>223</v>
      </c>
      <c r="X29" s="6"/>
      <c r="Y29" s="6"/>
      <c r="Z29" s="6"/>
      <c r="AA29" s="6" t="s">
        <v>48</v>
      </c>
      <c r="AB29" s="8"/>
    </row>
    <row r="30" spans="1:28" s="4" customFormat="1" ht="42" customHeight="1">
      <c r="A30" s="5">
        <v>0</v>
      </c>
      <c r="B30" s="6" t="s">
        <v>224</v>
      </c>
      <c r="C30" s="13">
        <v>665.9</v>
      </c>
      <c r="D30" s="8" t="s">
        <v>225</v>
      </c>
      <c r="E30" s="8" t="s">
        <v>226</v>
      </c>
      <c r="F30" s="8" t="s">
        <v>227</v>
      </c>
      <c r="G30" s="6" t="s">
        <v>38</v>
      </c>
      <c r="H30" s="6" t="s">
        <v>39</v>
      </c>
      <c r="I30" s="8" t="s">
        <v>82</v>
      </c>
      <c r="J30" s="9">
        <v>1</v>
      </c>
      <c r="K30" s="9">
        <v>143</v>
      </c>
      <c r="L30" s="9">
        <v>2022</v>
      </c>
      <c r="M30" s="8" t="s">
        <v>228</v>
      </c>
      <c r="N30" s="8" t="s">
        <v>229</v>
      </c>
      <c r="O30" s="8" t="s">
        <v>230</v>
      </c>
      <c r="P30" s="6" t="s">
        <v>44</v>
      </c>
      <c r="Q30" s="8" t="s">
        <v>45</v>
      </c>
      <c r="R30" s="10" t="s">
        <v>231</v>
      </c>
      <c r="S30" s="11"/>
      <c r="T30" s="6"/>
      <c r="U30" s="24" t="str">
        <f>HYPERLINK("https://media.infra-m.ru/1855/1855988/cover/1855988.jpg", "Обложка")</f>
        <v>Обложка</v>
      </c>
      <c r="V30" s="24" t="str">
        <f>HYPERLINK("https://znanium.ru/catalog/product/1855988", "Ознакомиться")</f>
        <v>Ознакомиться</v>
      </c>
      <c r="W30" s="8" t="s">
        <v>232</v>
      </c>
      <c r="X30" s="6"/>
      <c r="Y30" s="6"/>
      <c r="Z30" s="6"/>
      <c r="AA30" s="6" t="s">
        <v>76</v>
      </c>
      <c r="AB30" s="8"/>
    </row>
    <row r="31" spans="1:28" s="4" customFormat="1" ht="42" customHeight="1">
      <c r="A31" s="5">
        <v>0</v>
      </c>
      <c r="B31" s="6" t="s">
        <v>233</v>
      </c>
      <c r="C31" s="13">
        <v>633.6</v>
      </c>
      <c r="D31" s="8" t="s">
        <v>234</v>
      </c>
      <c r="E31" s="8" t="s">
        <v>235</v>
      </c>
      <c r="F31" s="8" t="s">
        <v>236</v>
      </c>
      <c r="G31" s="6" t="s">
        <v>38</v>
      </c>
      <c r="H31" s="6" t="s">
        <v>39</v>
      </c>
      <c r="I31" s="8" t="s">
        <v>237</v>
      </c>
      <c r="J31" s="9">
        <v>1</v>
      </c>
      <c r="K31" s="9">
        <v>97</v>
      </c>
      <c r="L31" s="9">
        <v>2025</v>
      </c>
      <c r="M31" s="8" t="s">
        <v>238</v>
      </c>
      <c r="N31" s="8" t="s">
        <v>54</v>
      </c>
      <c r="O31" s="8" t="s">
        <v>55</v>
      </c>
      <c r="P31" s="6" t="s">
        <v>239</v>
      </c>
      <c r="Q31" s="8" t="s">
        <v>45</v>
      </c>
      <c r="R31" s="10" t="s">
        <v>240</v>
      </c>
      <c r="S31" s="11"/>
      <c r="T31" s="6"/>
      <c r="U31" s="24" t="str">
        <f>HYPERLINK("https://media.infra-m.ru/2191/2191601/cover/2191601.jpg", "Обложка")</f>
        <v>Обложка</v>
      </c>
      <c r="V31" s="24" t="str">
        <f>HYPERLINK("https://znanium.ru/catalog/product/1891780", "Ознакомиться")</f>
        <v>Ознакомиться</v>
      </c>
      <c r="W31" s="8" t="s">
        <v>191</v>
      </c>
      <c r="X31" s="6"/>
      <c r="Y31" s="6"/>
      <c r="Z31" s="6"/>
      <c r="AA31" s="6" t="s">
        <v>241</v>
      </c>
      <c r="AB31" s="8"/>
    </row>
    <row r="32" spans="1:28" s="4" customFormat="1" ht="42" customHeight="1">
      <c r="A32" s="5">
        <v>0</v>
      </c>
      <c r="B32" s="6" t="s">
        <v>242</v>
      </c>
      <c r="C32" s="7">
        <v>2026.2</v>
      </c>
      <c r="D32" s="8" t="s">
        <v>243</v>
      </c>
      <c r="E32" s="8" t="s">
        <v>244</v>
      </c>
      <c r="F32" s="8" t="s">
        <v>245</v>
      </c>
      <c r="G32" s="6" t="s">
        <v>38</v>
      </c>
      <c r="H32" s="6" t="s">
        <v>182</v>
      </c>
      <c r="I32" s="8"/>
      <c r="J32" s="9">
        <v>1</v>
      </c>
      <c r="K32" s="9">
        <v>174</v>
      </c>
      <c r="L32" s="9">
        <v>2017</v>
      </c>
      <c r="M32" s="8"/>
      <c r="N32" s="8" t="s">
        <v>42</v>
      </c>
      <c r="O32" s="8" t="s">
        <v>246</v>
      </c>
      <c r="P32" s="6" t="s">
        <v>183</v>
      </c>
      <c r="Q32" s="8" t="s">
        <v>45</v>
      </c>
      <c r="R32" s="10"/>
      <c r="S32" s="11"/>
      <c r="T32" s="6"/>
      <c r="U32" s="24" t="str">
        <f>HYPERLINK("https://media.infra-m.ru/0882/0882728/cover/882728.jpg", "Обложка")</f>
        <v>Обложка</v>
      </c>
      <c r="V32" s="24" t="str">
        <f>HYPERLINK("https://znanium.ru/catalog/product/882728", "Ознакомиться")</f>
        <v>Ознакомиться</v>
      </c>
      <c r="W32" s="8"/>
      <c r="X32" s="6"/>
      <c r="Y32" s="6"/>
      <c r="Z32" s="6"/>
      <c r="AA32" s="6"/>
      <c r="AB32" s="8"/>
    </row>
    <row r="33" spans="1:28" s="4" customFormat="1" ht="51.95" customHeight="1">
      <c r="A33" s="5">
        <v>0</v>
      </c>
      <c r="B33" s="6" t="s">
        <v>247</v>
      </c>
      <c r="C33" s="7">
        <v>1308</v>
      </c>
      <c r="D33" s="8" t="s">
        <v>248</v>
      </c>
      <c r="E33" s="8" t="s">
        <v>249</v>
      </c>
      <c r="F33" s="8" t="s">
        <v>250</v>
      </c>
      <c r="G33" s="6" t="s">
        <v>132</v>
      </c>
      <c r="H33" s="6" t="s">
        <v>39</v>
      </c>
      <c r="I33" s="8" t="s">
        <v>40</v>
      </c>
      <c r="J33" s="9">
        <v>1</v>
      </c>
      <c r="K33" s="9">
        <v>212</v>
      </c>
      <c r="L33" s="9">
        <v>2024</v>
      </c>
      <c r="M33" s="8" t="s">
        <v>251</v>
      </c>
      <c r="N33" s="8" t="s">
        <v>220</v>
      </c>
      <c r="O33" s="8" t="s">
        <v>252</v>
      </c>
      <c r="P33" s="6" t="s">
        <v>44</v>
      </c>
      <c r="Q33" s="8" t="s">
        <v>45</v>
      </c>
      <c r="R33" s="10" t="s">
        <v>253</v>
      </c>
      <c r="S33" s="11"/>
      <c r="T33" s="6"/>
      <c r="U33" s="24" t="str">
        <f>HYPERLINK("https://media.infra-m.ru/2131/2131564/cover/2131564.jpg", "Обложка")</f>
        <v>Обложка</v>
      </c>
      <c r="V33" s="24" t="str">
        <f>HYPERLINK("https://znanium.ru/catalog/product/2131564", "Ознакомиться")</f>
        <v>Ознакомиться</v>
      </c>
      <c r="W33" s="8" t="s">
        <v>254</v>
      </c>
      <c r="X33" s="6"/>
      <c r="Y33" s="6"/>
      <c r="Z33" s="6"/>
      <c r="AA33" s="6" t="s">
        <v>58</v>
      </c>
      <c r="AB33" s="8" t="s">
        <v>255</v>
      </c>
    </row>
    <row r="34" spans="1:28" s="4" customFormat="1" ht="51.95" customHeight="1">
      <c r="A34" s="5">
        <v>0</v>
      </c>
      <c r="B34" s="6" t="s">
        <v>256</v>
      </c>
      <c r="C34" s="7">
        <v>1560</v>
      </c>
      <c r="D34" s="8" t="s">
        <v>257</v>
      </c>
      <c r="E34" s="8" t="s">
        <v>258</v>
      </c>
      <c r="F34" s="8" t="s">
        <v>259</v>
      </c>
      <c r="G34" s="6" t="s">
        <v>132</v>
      </c>
      <c r="H34" s="6" t="s">
        <v>99</v>
      </c>
      <c r="I34" s="8"/>
      <c r="J34" s="9">
        <v>1</v>
      </c>
      <c r="K34" s="9">
        <v>344</v>
      </c>
      <c r="L34" s="9">
        <v>2021</v>
      </c>
      <c r="M34" s="8" t="s">
        <v>260</v>
      </c>
      <c r="N34" s="8" t="s">
        <v>42</v>
      </c>
      <c r="O34" s="8" t="s">
        <v>101</v>
      </c>
      <c r="P34" s="6" t="s">
        <v>44</v>
      </c>
      <c r="Q34" s="8" t="s">
        <v>45</v>
      </c>
      <c r="R34" s="10" t="s">
        <v>261</v>
      </c>
      <c r="S34" s="11"/>
      <c r="T34" s="6"/>
      <c r="U34" s="24" t="str">
        <f>HYPERLINK("https://media.infra-m.ru/1372/1372728/cover/1372728.jpg", "Обложка")</f>
        <v>Обложка</v>
      </c>
      <c r="V34" s="24" t="str">
        <f>HYPERLINK("https://znanium.ru/catalog/product/1372728", "Ознакомиться")</f>
        <v>Ознакомиться</v>
      </c>
      <c r="W34" s="8" t="s">
        <v>262</v>
      </c>
      <c r="X34" s="6"/>
      <c r="Y34" s="6"/>
      <c r="Z34" s="6"/>
      <c r="AA34" s="6" t="s">
        <v>199</v>
      </c>
      <c r="AB34" s="8"/>
    </row>
    <row r="35" spans="1:28" s="4" customFormat="1" ht="42" customHeight="1">
      <c r="A35" s="5">
        <v>0</v>
      </c>
      <c r="B35" s="6" t="s">
        <v>263</v>
      </c>
      <c r="C35" s="13">
        <v>996</v>
      </c>
      <c r="D35" s="8" t="s">
        <v>264</v>
      </c>
      <c r="E35" s="8" t="s">
        <v>265</v>
      </c>
      <c r="F35" s="8" t="s">
        <v>266</v>
      </c>
      <c r="G35" s="6" t="s">
        <v>81</v>
      </c>
      <c r="H35" s="6" t="s">
        <v>99</v>
      </c>
      <c r="I35" s="8"/>
      <c r="J35" s="9">
        <v>1</v>
      </c>
      <c r="K35" s="9">
        <v>216</v>
      </c>
      <c r="L35" s="9">
        <v>2022</v>
      </c>
      <c r="M35" s="8" t="s">
        <v>267</v>
      </c>
      <c r="N35" s="8" t="s">
        <v>42</v>
      </c>
      <c r="O35" s="8" t="s">
        <v>101</v>
      </c>
      <c r="P35" s="6" t="s">
        <v>268</v>
      </c>
      <c r="Q35" s="8" t="s">
        <v>45</v>
      </c>
      <c r="R35" s="10" t="s">
        <v>269</v>
      </c>
      <c r="S35" s="11"/>
      <c r="T35" s="6"/>
      <c r="U35" s="24" t="str">
        <f>HYPERLINK("https://media.infra-m.ru/1854/1854467/cover/1854467.jpg", "Обложка")</f>
        <v>Обложка</v>
      </c>
      <c r="V35" s="24" t="str">
        <f>HYPERLINK("https://znanium.ru/catalog/product/1302346", "Ознакомиться")</f>
        <v>Ознакомиться</v>
      </c>
      <c r="W35" s="8"/>
      <c r="X35" s="6"/>
      <c r="Y35" s="6"/>
      <c r="Z35" s="6"/>
      <c r="AA35" s="6" t="s">
        <v>199</v>
      </c>
      <c r="AB35" s="8"/>
    </row>
    <row r="36" spans="1:28" s="4" customFormat="1" ht="44.1" customHeight="1">
      <c r="A36" s="5">
        <v>0</v>
      </c>
      <c r="B36" s="6" t="s">
        <v>270</v>
      </c>
      <c r="C36" s="13">
        <v>576</v>
      </c>
      <c r="D36" s="8" t="s">
        <v>271</v>
      </c>
      <c r="E36" s="8" t="s">
        <v>272</v>
      </c>
      <c r="F36" s="8" t="s">
        <v>273</v>
      </c>
      <c r="G36" s="6" t="s">
        <v>38</v>
      </c>
      <c r="H36" s="6" t="s">
        <v>182</v>
      </c>
      <c r="I36" s="8" t="s">
        <v>40</v>
      </c>
      <c r="J36" s="9">
        <v>1</v>
      </c>
      <c r="K36" s="9">
        <v>135</v>
      </c>
      <c r="L36" s="9">
        <v>2018</v>
      </c>
      <c r="M36" s="8" t="s">
        <v>274</v>
      </c>
      <c r="N36" s="8" t="s">
        <v>42</v>
      </c>
      <c r="O36" s="8" t="s">
        <v>65</v>
      </c>
      <c r="P36" s="6" t="s">
        <v>44</v>
      </c>
      <c r="Q36" s="8" t="s">
        <v>45</v>
      </c>
      <c r="R36" s="10" t="s">
        <v>275</v>
      </c>
      <c r="S36" s="11"/>
      <c r="T36" s="6"/>
      <c r="U36" s="24" t="str">
        <f>HYPERLINK("https://media.infra-m.ru/1040/1040436/cover/1040436.jpg", "Обложка")</f>
        <v>Обложка</v>
      </c>
      <c r="V36" s="24" t="str">
        <f>HYPERLINK("https://znanium.ru/catalog/product/1040436", "Ознакомиться")</f>
        <v>Ознакомиться</v>
      </c>
      <c r="W36" s="8" t="s">
        <v>276</v>
      </c>
      <c r="X36" s="6"/>
      <c r="Y36" s="6"/>
      <c r="Z36" s="6"/>
      <c r="AA36" s="6" t="s">
        <v>277</v>
      </c>
      <c r="AB36" s="8"/>
    </row>
    <row r="37" spans="1:28" s="4" customFormat="1" ht="51.95" customHeight="1">
      <c r="A37" s="5">
        <v>0</v>
      </c>
      <c r="B37" s="6" t="s">
        <v>278</v>
      </c>
      <c r="C37" s="7">
        <v>1900.8</v>
      </c>
      <c r="D37" s="8" t="s">
        <v>279</v>
      </c>
      <c r="E37" s="8" t="s">
        <v>280</v>
      </c>
      <c r="F37" s="8" t="s">
        <v>281</v>
      </c>
      <c r="G37" s="6" t="s">
        <v>81</v>
      </c>
      <c r="H37" s="6" t="s">
        <v>39</v>
      </c>
      <c r="I37" s="8" t="s">
        <v>282</v>
      </c>
      <c r="J37" s="9">
        <v>1</v>
      </c>
      <c r="K37" s="9">
        <v>304</v>
      </c>
      <c r="L37" s="9">
        <v>2025</v>
      </c>
      <c r="M37" s="8" t="s">
        <v>283</v>
      </c>
      <c r="N37" s="8" t="s">
        <v>284</v>
      </c>
      <c r="O37" s="8" t="s">
        <v>285</v>
      </c>
      <c r="P37" s="6" t="s">
        <v>286</v>
      </c>
      <c r="Q37" s="8" t="s">
        <v>287</v>
      </c>
      <c r="R37" s="10" t="s">
        <v>288</v>
      </c>
      <c r="S37" s="11"/>
      <c r="T37" s="6"/>
      <c r="U37" s="24" t="str">
        <f>HYPERLINK("https://media.infra-m.ru/2198/2198920/cover/2198920.jpg", "Обложка")</f>
        <v>Обложка</v>
      </c>
      <c r="V37" s="24" t="str">
        <f>HYPERLINK("https://znanium.ru/catalog/product/2024014", "Ознакомиться")</f>
        <v>Ознакомиться</v>
      </c>
      <c r="W37" s="8" t="s">
        <v>289</v>
      </c>
      <c r="X37" s="6"/>
      <c r="Y37" s="6"/>
      <c r="Z37" s="6"/>
      <c r="AA37" s="6" t="s">
        <v>290</v>
      </c>
      <c r="AB37" s="8"/>
    </row>
    <row r="38" spans="1:28" s="4" customFormat="1" ht="42" customHeight="1">
      <c r="A38" s="5">
        <v>0</v>
      </c>
      <c r="B38" s="6" t="s">
        <v>291</v>
      </c>
      <c r="C38" s="7">
        <v>1440</v>
      </c>
      <c r="D38" s="8" t="s">
        <v>292</v>
      </c>
      <c r="E38" s="8" t="s">
        <v>293</v>
      </c>
      <c r="F38" s="8" t="s">
        <v>294</v>
      </c>
      <c r="G38" s="6" t="s">
        <v>38</v>
      </c>
      <c r="H38" s="6" t="s">
        <v>39</v>
      </c>
      <c r="I38" s="8" t="s">
        <v>40</v>
      </c>
      <c r="J38" s="9">
        <v>1</v>
      </c>
      <c r="K38" s="9">
        <v>266</v>
      </c>
      <c r="L38" s="9">
        <v>2023</v>
      </c>
      <c r="M38" s="8" t="s">
        <v>295</v>
      </c>
      <c r="N38" s="8" t="s">
        <v>220</v>
      </c>
      <c r="O38" s="8" t="s">
        <v>296</v>
      </c>
      <c r="P38" s="6" t="s">
        <v>44</v>
      </c>
      <c r="Q38" s="8" t="s">
        <v>45</v>
      </c>
      <c r="R38" s="10" t="s">
        <v>297</v>
      </c>
      <c r="S38" s="11"/>
      <c r="T38" s="6"/>
      <c r="U38" s="24" t="str">
        <f>HYPERLINK("https://media.infra-m.ru/2048/2048913/cover/2048913.jpg", "Обложка")</f>
        <v>Обложка</v>
      </c>
      <c r="V38" s="24" t="str">
        <f>HYPERLINK("https://znanium.ru/catalog/product/2048913", "Ознакомиться")</f>
        <v>Ознакомиться</v>
      </c>
      <c r="W38" s="8" t="s">
        <v>298</v>
      </c>
      <c r="X38" s="6"/>
      <c r="Y38" s="6"/>
      <c r="Z38" s="6"/>
      <c r="AA38" s="6" t="s">
        <v>111</v>
      </c>
      <c r="AB38" s="8"/>
    </row>
    <row r="39" spans="1:28" s="4" customFormat="1" ht="42" customHeight="1">
      <c r="A39" s="5">
        <v>0</v>
      </c>
      <c r="B39" s="6" t="s">
        <v>299</v>
      </c>
      <c r="C39" s="7">
        <v>1800</v>
      </c>
      <c r="D39" s="8" t="s">
        <v>300</v>
      </c>
      <c r="E39" s="8" t="s">
        <v>301</v>
      </c>
      <c r="F39" s="8" t="s">
        <v>302</v>
      </c>
      <c r="G39" s="6" t="s">
        <v>132</v>
      </c>
      <c r="H39" s="6" t="s">
        <v>39</v>
      </c>
      <c r="I39" s="8"/>
      <c r="J39" s="9">
        <v>1</v>
      </c>
      <c r="K39" s="9">
        <v>224</v>
      </c>
      <c r="L39" s="9">
        <v>2025</v>
      </c>
      <c r="M39" s="8" t="s">
        <v>303</v>
      </c>
      <c r="N39" s="8" t="s">
        <v>42</v>
      </c>
      <c r="O39" s="8" t="s">
        <v>65</v>
      </c>
      <c r="P39" s="6" t="s">
        <v>44</v>
      </c>
      <c r="Q39" s="8" t="s">
        <v>45</v>
      </c>
      <c r="R39" s="10" t="s">
        <v>304</v>
      </c>
      <c r="S39" s="11"/>
      <c r="T39" s="6"/>
      <c r="U39" s="24" t="str">
        <f>HYPERLINK("https://media.infra-m.ru/2202/2202192/cover/2202192.jpg", "Обложка")</f>
        <v>Обложка</v>
      </c>
      <c r="V39" s="24" t="str">
        <f>HYPERLINK("https://znanium.ru/catalog/product/2169390", "Ознакомиться")</f>
        <v>Ознакомиться</v>
      </c>
      <c r="W39" s="8" t="s">
        <v>305</v>
      </c>
      <c r="X39" s="6" t="s">
        <v>306</v>
      </c>
      <c r="Y39" s="6"/>
      <c r="Z39" s="6"/>
      <c r="AA39" s="6" t="s">
        <v>159</v>
      </c>
      <c r="AB39" s="8"/>
    </row>
    <row r="40" spans="1:28" s="4" customFormat="1" ht="42" customHeight="1">
      <c r="A40" s="5">
        <v>0</v>
      </c>
      <c r="B40" s="6" t="s">
        <v>307</v>
      </c>
      <c r="C40" s="13">
        <v>972</v>
      </c>
      <c r="D40" s="8" t="s">
        <v>308</v>
      </c>
      <c r="E40" s="8" t="s">
        <v>309</v>
      </c>
      <c r="F40" s="8" t="s">
        <v>310</v>
      </c>
      <c r="G40" s="6" t="s">
        <v>38</v>
      </c>
      <c r="H40" s="6" t="s">
        <v>39</v>
      </c>
      <c r="I40" s="8" t="s">
        <v>40</v>
      </c>
      <c r="J40" s="9">
        <v>1</v>
      </c>
      <c r="K40" s="9">
        <v>175</v>
      </c>
      <c r="L40" s="9">
        <v>2024</v>
      </c>
      <c r="M40" s="8" t="s">
        <v>311</v>
      </c>
      <c r="N40" s="8" t="s">
        <v>284</v>
      </c>
      <c r="O40" s="8" t="s">
        <v>312</v>
      </c>
      <c r="P40" s="6" t="s">
        <v>44</v>
      </c>
      <c r="Q40" s="8" t="s">
        <v>45</v>
      </c>
      <c r="R40" s="10" t="s">
        <v>313</v>
      </c>
      <c r="S40" s="11"/>
      <c r="T40" s="6"/>
      <c r="U40" s="24" t="str">
        <f>HYPERLINK("https://media.infra-m.ru/2125/2125657/cover/2125657.jpg", "Обложка")</f>
        <v>Обложка</v>
      </c>
      <c r="V40" s="24" t="str">
        <f>HYPERLINK("https://znanium.ru/catalog/product/2162831", "Ознакомиться")</f>
        <v>Ознакомиться</v>
      </c>
      <c r="W40" s="8" t="s">
        <v>314</v>
      </c>
      <c r="X40" s="6"/>
      <c r="Y40" s="6"/>
      <c r="Z40" s="6"/>
      <c r="AA40" s="6" t="s">
        <v>94</v>
      </c>
      <c r="AB40" s="8"/>
    </row>
    <row r="41" spans="1:28" s="4" customFormat="1" ht="42" customHeight="1">
      <c r="A41" s="5">
        <v>0</v>
      </c>
      <c r="B41" s="6" t="s">
        <v>315</v>
      </c>
      <c r="C41" s="7">
        <v>1668</v>
      </c>
      <c r="D41" s="8" t="s">
        <v>316</v>
      </c>
      <c r="E41" s="8" t="s">
        <v>317</v>
      </c>
      <c r="F41" s="8" t="s">
        <v>318</v>
      </c>
      <c r="G41" s="6" t="s">
        <v>38</v>
      </c>
      <c r="H41" s="6" t="s">
        <v>39</v>
      </c>
      <c r="I41" s="8" t="s">
        <v>40</v>
      </c>
      <c r="J41" s="9">
        <v>1</v>
      </c>
      <c r="K41" s="9">
        <v>267</v>
      </c>
      <c r="L41" s="9">
        <v>2025</v>
      </c>
      <c r="M41" s="8" t="s">
        <v>319</v>
      </c>
      <c r="N41" s="8" t="s">
        <v>284</v>
      </c>
      <c r="O41" s="8" t="s">
        <v>285</v>
      </c>
      <c r="P41" s="6" t="s">
        <v>44</v>
      </c>
      <c r="Q41" s="8" t="s">
        <v>45</v>
      </c>
      <c r="R41" s="10" t="s">
        <v>313</v>
      </c>
      <c r="S41" s="11"/>
      <c r="T41" s="6"/>
      <c r="U41" s="24" t="str">
        <f>HYPERLINK("https://media.infra-m.ru/2162/2162831/cover/2162831.jpg", "Обложка")</f>
        <v>Обложка</v>
      </c>
      <c r="V41" s="24" t="str">
        <f>HYPERLINK("https://znanium.ru/catalog/product/2162831", "Ознакомиться")</f>
        <v>Ознакомиться</v>
      </c>
      <c r="W41" s="8" t="s">
        <v>314</v>
      </c>
      <c r="X41" s="6" t="s">
        <v>320</v>
      </c>
      <c r="Y41" s="6"/>
      <c r="Z41" s="6"/>
      <c r="AA41" s="6" t="s">
        <v>321</v>
      </c>
      <c r="AB41" s="8"/>
    </row>
    <row r="42" spans="1:28" s="4" customFormat="1" ht="51.95" customHeight="1">
      <c r="A42" s="5">
        <v>0</v>
      </c>
      <c r="B42" s="6" t="s">
        <v>322</v>
      </c>
      <c r="C42" s="7">
        <v>2464.8000000000002</v>
      </c>
      <c r="D42" s="8" t="s">
        <v>323</v>
      </c>
      <c r="E42" s="8" t="s">
        <v>324</v>
      </c>
      <c r="F42" s="8" t="s">
        <v>325</v>
      </c>
      <c r="G42" s="6" t="s">
        <v>132</v>
      </c>
      <c r="H42" s="6" t="s">
        <v>326</v>
      </c>
      <c r="I42" s="8"/>
      <c r="J42" s="9">
        <v>1</v>
      </c>
      <c r="K42" s="9">
        <v>288</v>
      </c>
      <c r="L42" s="9">
        <v>2026</v>
      </c>
      <c r="M42" s="8" t="s">
        <v>327</v>
      </c>
      <c r="N42" s="8" t="s">
        <v>284</v>
      </c>
      <c r="O42" s="8" t="s">
        <v>328</v>
      </c>
      <c r="P42" s="6" t="s">
        <v>286</v>
      </c>
      <c r="Q42" s="8" t="s">
        <v>45</v>
      </c>
      <c r="R42" s="10" t="s">
        <v>329</v>
      </c>
      <c r="S42" s="11"/>
      <c r="T42" s="6"/>
      <c r="U42" s="24" t="str">
        <f>HYPERLINK("https://media.infra-m.ru/2225/2225124/cover/2225124.jpg", "Обложка")</f>
        <v>Обложка</v>
      </c>
      <c r="V42" s="12"/>
      <c r="W42" s="8" t="s">
        <v>330</v>
      </c>
      <c r="X42" s="6"/>
      <c r="Y42" s="6"/>
      <c r="Z42" s="6"/>
      <c r="AA42" s="6" t="s">
        <v>331</v>
      </c>
      <c r="AB42" s="8"/>
    </row>
    <row r="43" spans="1:28" s="4" customFormat="1" ht="42" customHeight="1">
      <c r="A43" s="5">
        <v>0</v>
      </c>
      <c r="B43" s="6" t="s">
        <v>332</v>
      </c>
      <c r="C43" s="7">
        <v>1776</v>
      </c>
      <c r="D43" s="8" t="s">
        <v>333</v>
      </c>
      <c r="E43" s="8" t="s">
        <v>334</v>
      </c>
      <c r="F43" s="8" t="s">
        <v>335</v>
      </c>
      <c r="G43" s="6" t="s">
        <v>81</v>
      </c>
      <c r="H43" s="6" t="s">
        <v>39</v>
      </c>
      <c r="I43" s="8" t="s">
        <v>336</v>
      </c>
      <c r="J43" s="9">
        <v>1</v>
      </c>
      <c r="K43" s="9">
        <v>320</v>
      </c>
      <c r="L43" s="9">
        <v>2024</v>
      </c>
      <c r="M43" s="8" t="s">
        <v>337</v>
      </c>
      <c r="N43" s="8" t="s">
        <v>42</v>
      </c>
      <c r="O43" s="8" t="s">
        <v>101</v>
      </c>
      <c r="P43" s="6" t="s">
        <v>44</v>
      </c>
      <c r="Q43" s="8" t="s">
        <v>45</v>
      </c>
      <c r="R43" s="10" t="s">
        <v>338</v>
      </c>
      <c r="S43" s="11"/>
      <c r="T43" s="6"/>
      <c r="U43" s="24" t="str">
        <f>HYPERLINK("https://media.infra-m.ru/2125/2125606/cover/2125606.jpg", "Обложка")</f>
        <v>Обложка</v>
      </c>
      <c r="V43" s="24" t="str">
        <f>HYPERLINK("https://znanium.ru/catalog/product/2125606", "Ознакомиться")</f>
        <v>Ознакомиться</v>
      </c>
      <c r="W43" s="8" t="s">
        <v>103</v>
      </c>
      <c r="X43" s="6"/>
      <c r="Y43" s="6"/>
      <c r="Z43" s="6"/>
      <c r="AA43" s="6" t="s">
        <v>339</v>
      </c>
      <c r="AB43" s="8"/>
    </row>
    <row r="44" spans="1:28" s="4" customFormat="1" ht="42" customHeight="1">
      <c r="A44" s="5">
        <v>0</v>
      </c>
      <c r="B44" s="6" t="s">
        <v>340</v>
      </c>
      <c r="C44" s="7">
        <v>1176</v>
      </c>
      <c r="D44" s="8" t="s">
        <v>341</v>
      </c>
      <c r="E44" s="8" t="s">
        <v>342</v>
      </c>
      <c r="F44" s="8" t="s">
        <v>343</v>
      </c>
      <c r="G44" s="6" t="s">
        <v>38</v>
      </c>
      <c r="H44" s="6" t="s">
        <v>39</v>
      </c>
      <c r="I44" s="8" t="s">
        <v>344</v>
      </c>
      <c r="J44" s="9">
        <v>1</v>
      </c>
      <c r="K44" s="9">
        <v>252</v>
      </c>
      <c r="L44" s="9">
        <v>2022</v>
      </c>
      <c r="M44" s="8" t="s">
        <v>345</v>
      </c>
      <c r="N44" s="8" t="s">
        <v>42</v>
      </c>
      <c r="O44" s="8" t="s">
        <v>65</v>
      </c>
      <c r="P44" s="6" t="s">
        <v>44</v>
      </c>
      <c r="Q44" s="8" t="s">
        <v>45</v>
      </c>
      <c r="R44" s="10" t="s">
        <v>175</v>
      </c>
      <c r="S44" s="11"/>
      <c r="T44" s="6"/>
      <c r="U44" s="24" t="str">
        <f>HYPERLINK("https://media.infra-m.ru/1831/1831187/cover/1831187.jpg", "Обложка")</f>
        <v>Обложка</v>
      </c>
      <c r="V44" s="12"/>
      <c r="W44" s="8" t="s">
        <v>346</v>
      </c>
      <c r="X44" s="6"/>
      <c r="Y44" s="6"/>
      <c r="Z44" s="6"/>
      <c r="AA44" s="6" t="s">
        <v>68</v>
      </c>
      <c r="AB44" s="8"/>
    </row>
    <row r="45" spans="1:28" s="4" customFormat="1" ht="51.95" customHeight="1">
      <c r="A45" s="5">
        <v>0</v>
      </c>
      <c r="B45" s="6" t="s">
        <v>347</v>
      </c>
      <c r="C45" s="13">
        <v>612</v>
      </c>
      <c r="D45" s="8" t="s">
        <v>348</v>
      </c>
      <c r="E45" s="8" t="s">
        <v>349</v>
      </c>
      <c r="F45" s="8" t="s">
        <v>350</v>
      </c>
      <c r="G45" s="6" t="s">
        <v>38</v>
      </c>
      <c r="H45" s="6" t="s">
        <v>39</v>
      </c>
      <c r="I45" s="8" t="s">
        <v>351</v>
      </c>
      <c r="J45" s="9">
        <v>1</v>
      </c>
      <c r="K45" s="9">
        <v>133</v>
      </c>
      <c r="L45" s="9">
        <v>2022</v>
      </c>
      <c r="M45" s="8" t="s">
        <v>352</v>
      </c>
      <c r="N45" s="8" t="s">
        <v>42</v>
      </c>
      <c r="O45" s="8" t="s">
        <v>189</v>
      </c>
      <c r="P45" s="6" t="s">
        <v>44</v>
      </c>
      <c r="Q45" s="8" t="s">
        <v>45</v>
      </c>
      <c r="R45" s="10" t="s">
        <v>353</v>
      </c>
      <c r="S45" s="11"/>
      <c r="T45" s="6"/>
      <c r="U45" s="24" t="str">
        <f>HYPERLINK("https://media.infra-m.ru/1846/1846000/cover/1846000.jpg", "Обложка")</f>
        <v>Обложка</v>
      </c>
      <c r="V45" s="24" t="str">
        <f>HYPERLINK("https://znanium.ru/catalog/product/1846000", "Ознакомиться")</f>
        <v>Ознакомиться</v>
      </c>
      <c r="W45" s="8" t="s">
        <v>354</v>
      </c>
      <c r="X45" s="6"/>
      <c r="Y45" s="6"/>
      <c r="Z45" s="6"/>
      <c r="AA45" s="6" t="s">
        <v>76</v>
      </c>
      <c r="AB45" s="8"/>
    </row>
    <row r="46" spans="1:28" s="4" customFormat="1" ht="51.95" customHeight="1">
      <c r="A46" s="5">
        <v>0</v>
      </c>
      <c r="B46" s="6" t="s">
        <v>355</v>
      </c>
      <c r="C46" s="13">
        <v>708</v>
      </c>
      <c r="D46" s="8" t="s">
        <v>356</v>
      </c>
      <c r="E46" s="8" t="s">
        <v>357</v>
      </c>
      <c r="F46" s="8" t="s">
        <v>358</v>
      </c>
      <c r="G46" s="6" t="s">
        <v>38</v>
      </c>
      <c r="H46" s="6" t="s">
        <v>39</v>
      </c>
      <c r="I46" s="8" t="s">
        <v>40</v>
      </c>
      <c r="J46" s="9">
        <v>1</v>
      </c>
      <c r="K46" s="9">
        <v>124</v>
      </c>
      <c r="L46" s="9">
        <v>2024</v>
      </c>
      <c r="M46" s="8" t="s">
        <v>359</v>
      </c>
      <c r="N46" s="8" t="s">
        <v>42</v>
      </c>
      <c r="O46" s="8" t="s">
        <v>246</v>
      </c>
      <c r="P46" s="6" t="s">
        <v>44</v>
      </c>
      <c r="Q46" s="8" t="s">
        <v>45</v>
      </c>
      <c r="R46" s="10" t="s">
        <v>360</v>
      </c>
      <c r="S46" s="11"/>
      <c r="T46" s="6"/>
      <c r="U46" s="24" t="str">
        <f>HYPERLINK("https://media.infra-m.ru/2136/2136084/cover/2136084.jpg", "Обложка")</f>
        <v>Обложка</v>
      </c>
      <c r="V46" s="24" t="str">
        <f>HYPERLINK("https://znanium.ru/catalog/product/2136084", "Ознакомиться")</f>
        <v>Ознакомиться</v>
      </c>
      <c r="W46" s="8" t="s">
        <v>361</v>
      </c>
      <c r="X46" s="6"/>
      <c r="Y46" s="6"/>
      <c r="Z46" s="6"/>
      <c r="AA46" s="6" t="s">
        <v>290</v>
      </c>
      <c r="AB46" s="8"/>
    </row>
    <row r="47" spans="1:28" s="4" customFormat="1" ht="44.1" customHeight="1">
      <c r="A47" s="5">
        <v>0</v>
      </c>
      <c r="B47" s="6" t="s">
        <v>362</v>
      </c>
      <c r="C47" s="13">
        <v>732</v>
      </c>
      <c r="D47" s="8" t="s">
        <v>363</v>
      </c>
      <c r="E47" s="8" t="s">
        <v>364</v>
      </c>
      <c r="F47" s="8" t="s">
        <v>365</v>
      </c>
      <c r="G47" s="6" t="s">
        <v>38</v>
      </c>
      <c r="H47" s="6" t="s">
        <v>182</v>
      </c>
      <c r="I47" s="8" t="s">
        <v>40</v>
      </c>
      <c r="J47" s="9">
        <v>1</v>
      </c>
      <c r="K47" s="9">
        <v>122</v>
      </c>
      <c r="L47" s="9">
        <v>2023</v>
      </c>
      <c r="M47" s="8" t="s">
        <v>366</v>
      </c>
      <c r="N47" s="8" t="s">
        <v>284</v>
      </c>
      <c r="O47" s="8" t="s">
        <v>285</v>
      </c>
      <c r="P47" s="6" t="s">
        <v>44</v>
      </c>
      <c r="Q47" s="8" t="s">
        <v>45</v>
      </c>
      <c r="R47" s="10" t="s">
        <v>367</v>
      </c>
      <c r="S47" s="11"/>
      <c r="T47" s="6"/>
      <c r="U47" s="24" t="str">
        <f>HYPERLINK("https://media.infra-m.ru/1915/1915468/cover/1915468.jpg", "Обложка")</f>
        <v>Обложка</v>
      </c>
      <c r="V47" s="24" t="str">
        <f>HYPERLINK("https://znanium.ru/catalog/product/1915468", "Ознакомиться")</f>
        <v>Ознакомиться</v>
      </c>
      <c r="W47" s="8" t="s">
        <v>368</v>
      </c>
      <c r="X47" s="6"/>
      <c r="Y47" s="6"/>
      <c r="Z47" s="6"/>
      <c r="AA47" s="6" t="s">
        <v>369</v>
      </c>
      <c r="AB47" s="8"/>
    </row>
    <row r="48" spans="1:28" s="4" customFormat="1" ht="51.95" customHeight="1">
      <c r="A48" s="5">
        <v>0</v>
      </c>
      <c r="B48" s="6" t="s">
        <v>370</v>
      </c>
      <c r="C48" s="7">
        <v>1080</v>
      </c>
      <c r="D48" s="8" t="s">
        <v>371</v>
      </c>
      <c r="E48" s="8" t="s">
        <v>372</v>
      </c>
      <c r="F48" s="8" t="s">
        <v>373</v>
      </c>
      <c r="G48" s="6" t="s">
        <v>38</v>
      </c>
      <c r="H48" s="6" t="s">
        <v>39</v>
      </c>
      <c r="I48" s="8" t="s">
        <v>40</v>
      </c>
      <c r="J48" s="9">
        <v>1</v>
      </c>
      <c r="K48" s="9">
        <v>200</v>
      </c>
      <c r="L48" s="9">
        <v>2024</v>
      </c>
      <c r="M48" s="8" t="s">
        <v>374</v>
      </c>
      <c r="N48" s="8" t="s">
        <v>42</v>
      </c>
      <c r="O48" s="8" t="s">
        <v>246</v>
      </c>
      <c r="P48" s="6" t="s">
        <v>44</v>
      </c>
      <c r="Q48" s="8" t="s">
        <v>45</v>
      </c>
      <c r="R48" s="10" t="s">
        <v>375</v>
      </c>
      <c r="S48" s="11"/>
      <c r="T48" s="6"/>
      <c r="U48" s="24" t="str">
        <f>HYPERLINK("https://media.infra-m.ru/2037/2037422/cover/2037422.jpg", "Обложка")</f>
        <v>Обложка</v>
      </c>
      <c r="V48" s="24" t="str">
        <f>HYPERLINK("https://znanium.ru/catalog/product/2037422", "Ознакомиться")</f>
        <v>Ознакомиться</v>
      </c>
      <c r="W48" s="8" t="s">
        <v>376</v>
      </c>
      <c r="X48" s="6"/>
      <c r="Y48" s="6"/>
      <c r="Z48" s="6"/>
      <c r="AA48" s="6" t="s">
        <v>377</v>
      </c>
      <c r="AB48" s="8"/>
    </row>
    <row r="49" spans="1:28" s="4" customFormat="1" ht="42" customHeight="1">
      <c r="A49" s="5">
        <v>0</v>
      </c>
      <c r="B49" s="6" t="s">
        <v>378</v>
      </c>
      <c r="C49" s="13">
        <v>912</v>
      </c>
      <c r="D49" s="8" t="s">
        <v>379</v>
      </c>
      <c r="E49" s="8" t="s">
        <v>380</v>
      </c>
      <c r="F49" s="8" t="s">
        <v>381</v>
      </c>
      <c r="G49" s="6" t="s">
        <v>38</v>
      </c>
      <c r="H49" s="6" t="s">
        <v>39</v>
      </c>
      <c r="I49" s="8" t="s">
        <v>344</v>
      </c>
      <c r="J49" s="9">
        <v>1</v>
      </c>
      <c r="K49" s="9">
        <v>139</v>
      </c>
      <c r="L49" s="9">
        <v>2025</v>
      </c>
      <c r="M49" s="8" t="s">
        <v>382</v>
      </c>
      <c r="N49" s="8" t="s">
        <v>284</v>
      </c>
      <c r="O49" s="8" t="s">
        <v>383</v>
      </c>
      <c r="P49" s="6" t="s">
        <v>44</v>
      </c>
      <c r="Q49" s="8" t="s">
        <v>45</v>
      </c>
      <c r="R49" s="10" t="s">
        <v>384</v>
      </c>
      <c r="S49" s="11"/>
      <c r="T49" s="6"/>
      <c r="U49" s="24" t="str">
        <f>HYPERLINK("https://media.infra-m.ru/2199/2199781/cover/2199781.jpg", "Обложка")</f>
        <v>Обложка</v>
      </c>
      <c r="V49" s="12"/>
      <c r="W49" s="8" t="s">
        <v>346</v>
      </c>
      <c r="X49" s="6"/>
      <c r="Y49" s="6"/>
      <c r="Z49" s="6"/>
      <c r="AA49" s="6" t="s">
        <v>68</v>
      </c>
      <c r="AB49" s="8"/>
    </row>
    <row r="50" spans="1:28" s="4" customFormat="1" ht="51.95" customHeight="1">
      <c r="A50" s="5">
        <v>0</v>
      </c>
      <c r="B50" s="6" t="s">
        <v>385</v>
      </c>
      <c r="C50" s="13">
        <v>924</v>
      </c>
      <c r="D50" s="8" t="s">
        <v>386</v>
      </c>
      <c r="E50" s="8" t="s">
        <v>387</v>
      </c>
      <c r="F50" s="8" t="s">
        <v>388</v>
      </c>
      <c r="G50" s="6" t="s">
        <v>38</v>
      </c>
      <c r="H50" s="6" t="s">
        <v>39</v>
      </c>
      <c r="I50" s="8" t="s">
        <v>40</v>
      </c>
      <c r="J50" s="9">
        <v>1</v>
      </c>
      <c r="K50" s="9">
        <v>142</v>
      </c>
      <c r="L50" s="9">
        <v>2024</v>
      </c>
      <c r="M50" s="8" t="s">
        <v>389</v>
      </c>
      <c r="N50" s="8" t="s">
        <v>42</v>
      </c>
      <c r="O50" s="8" t="s">
        <v>101</v>
      </c>
      <c r="P50" s="6" t="s">
        <v>44</v>
      </c>
      <c r="Q50" s="8" t="s">
        <v>45</v>
      </c>
      <c r="R50" s="10" t="s">
        <v>390</v>
      </c>
      <c r="S50" s="11"/>
      <c r="T50" s="6"/>
      <c r="U50" s="24" t="str">
        <f>HYPERLINK("https://media.infra-m.ru/2137/2137810/cover/2137810.jpg", "Обложка")</f>
        <v>Обложка</v>
      </c>
      <c r="V50" s="24" t="str">
        <f>HYPERLINK("https://znanium.ru/catalog/product/2137810", "Ознакомиться")</f>
        <v>Ознакомиться</v>
      </c>
      <c r="W50" s="8" t="s">
        <v>391</v>
      </c>
      <c r="X50" s="6"/>
      <c r="Y50" s="6"/>
      <c r="Z50" s="6"/>
      <c r="AA50" s="6" t="s">
        <v>58</v>
      </c>
      <c r="AB50" s="8"/>
    </row>
    <row r="51" spans="1:28" s="4" customFormat="1" ht="51.95" customHeight="1">
      <c r="A51" s="5">
        <v>0</v>
      </c>
      <c r="B51" s="6" t="s">
        <v>392</v>
      </c>
      <c r="C51" s="13">
        <v>829.2</v>
      </c>
      <c r="D51" s="8" t="s">
        <v>393</v>
      </c>
      <c r="E51" s="8" t="s">
        <v>394</v>
      </c>
      <c r="F51" s="8" t="s">
        <v>395</v>
      </c>
      <c r="G51" s="6" t="s">
        <v>81</v>
      </c>
      <c r="H51" s="6" t="s">
        <v>99</v>
      </c>
      <c r="I51" s="8"/>
      <c r="J51" s="9">
        <v>1</v>
      </c>
      <c r="K51" s="9">
        <v>128</v>
      </c>
      <c r="L51" s="9">
        <v>2023</v>
      </c>
      <c r="M51" s="8" t="s">
        <v>396</v>
      </c>
      <c r="N51" s="8" t="s">
        <v>42</v>
      </c>
      <c r="O51" s="8" t="s">
        <v>101</v>
      </c>
      <c r="P51" s="6" t="s">
        <v>44</v>
      </c>
      <c r="Q51" s="8" t="s">
        <v>45</v>
      </c>
      <c r="R51" s="10" t="s">
        <v>397</v>
      </c>
      <c r="S51" s="11"/>
      <c r="T51" s="6"/>
      <c r="U51" s="24" t="str">
        <f>HYPERLINK("https://media.infra-m.ru/2037/2037423/cover/2037423.jpg", "Обложка")</f>
        <v>Обложка</v>
      </c>
      <c r="V51" s="24" t="str">
        <f>HYPERLINK("https://znanium.ru/catalog/product/2037423", "Ознакомиться")</f>
        <v>Ознакомиться</v>
      </c>
      <c r="W51" s="8" t="s">
        <v>191</v>
      </c>
      <c r="X51" s="6"/>
      <c r="Y51" s="6"/>
      <c r="Z51" s="6"/>
      <c r="AA51" s="6" t="s">
        <v>76</v>
      </c>
      <c r="AB51" s="8"/>
    </row>
    <row r="52" spans="1:28" s="4" customFormat="1" ht="51.95" customHeight="1">
      <c r="A52" s="5">
        <v>0</v>
      </c>
      <c r="B52" s="6" t="s">
        <v>398</v>
      </c>
      <c r="C52" s="7">
        <v>1000.8</v>
      </c>
      <c r="D52" s="8" t="s">
        <v>399</v>
      </c>
      <c r="E52" s="8" t="s">
        <v>400</v>
      </c>
      <c r="F52" s="8" t="s">
        <v>401</v>
      </c>
      <c r="G52" s="6" t="s">
        <v>38</v>
      </c>
      <c r="H52" s="6" t="s">
        <v>39</v>
      </c>
      <c r="I52" s="8" t="s">
        <v>40</v>
      </c>
      <c r="J52" s="9">
        <v>1</v>
      </c>
      <c r="K52" s="9">
        <v>151</v>
      </c>
      <c r="L52" s="9">
        <v>2025</v>
      </c>
      <c r="M52" s="8" t="s">
        <v>402</v>
      </c>
      <c r="N52" s="8" t="s">
        <v>42</v>
      </c>
      <c r="O52" s="8" t="s">
        <v>101</v>
      </c>
      <c r="P52" s="6" t="s">
        <v>44</v>
      </c>
      <c r="Q52" s="8" t="s">
        <v>45</v>
      </c>
      <c r="R52" s="10" t="s">
        <v>390</v>
      </c>
      <c r="S52" s="11"/>
      <c r="T52" s="6"/>
      <c r="U52" s="24" t="str">
        <f>HYPERLINK("https://media.infra-m.ru/2206/2206550/cover/2206550.jpg", "Обложка")</f>
        <v>Обложка</v>
      </c>
      <c r="V52" s="24" t="str">
        <f>HYPERLINK("https://znanium.ru/catalog/product/2141103", "Ознакомиться")</f>
        <v>Ознакомиться</v>
      </c>
      <c r="W52" s="8" t="s">
        <v>403</v>
      </c>
      <c r="X52" s="6"/>
      <c r="Y52" s="6"/>
      <c r="Z52" s="6"/>
      <c r="AA52" s="6" t="s">
        <v>58</v>
      </c>
      <c r="AB52" s="8"/>
    </row>
    <row r="53" spans="1:28" s="4" customFormat="1" ht="51.95" customHeight="1">
      <c r="A53" s="5">
        <v>0</v>
      </c>
      <c r="B53" s="6" t="s">
        <v>404</v>
      </c>
      <c r="C53" s="13">
        <v>888</v>
      </c>
      <c r="D53" s="8" t="s">
        <v>405</v>
      </c>
      <c r="E53" s="8" t="s">
        <v>406</v>
      </c>
      <c r="F53" s="8" t="s">
        <v>407</v>
      </c>
      <c r="G53" s="6" t="s">
        <v>132</v>
      </c>
      <c r="H53" s="6" t="s">
        <v>99</v>
      </c>
      <c r="I53" s="8"/>
      <c r="J53" s="9">
        <v>1</v>
      </c>
      <c r="K53" s="9">
        <v>160</v>
      </c>
      <c r="L53" s="9">
        <v>2019</v>
      </c>
      <c r="M53" s="8" t="s">
        <v>408</v>
      </c>
      <c r="N53" s="8" t="s">
        <v>42</v>
      </c>
      <c r="O53" s="8" t="s">
        <v>101</v>
      </c>
      <c r="P53" s="6" t="s">
        <v>44</v>
      </c>
      <c r="Q53" s="8" t="s">
        <v>45</v>
      </c>
      <c r="R53" s="10" t="s">
        <v>409</v>
      </c>
      <c r="S53" s="11"/>
      <c r="T53" s="6"/>
      <c r="U53" s="24" t="str">
        <f>HYPERLINK("https://media.infra-m.ru/1027/1027422/cover/1027422.jpg", "Обложка")</f>
        <v>Обложка</v>
      </c>
      <c r="V53" s="24" t="str">
        <f>HYPERLINK("https://znanium.ru/catalog/product/1027422", "Ознакомиться")</f>
        <v>Ознакомиться</v>
      </c>
      <c r="W53" s="8" t="s">
        <v>262</v>
      </c>
      <c r="X53" s="6"/>
      <c r="Y53" s="6"/>
      <c r="Z53" s="6"/>
      <c r="AA53" s="6" t="s">
        <v>68</v>
      </c>
      <c r="AB53" s="8"/>
    </row>
    <row r="54" spans="1:28" s="4" customFormat="1" ht="51.95" customHeight="1">
      <c r="A54" s="5">
        <v>0</v>
      </c>
      <c r="B54" s="6" t="s">
        <v>410</v>
      </c>
      <c r="C54" s="7">
        <v>2256</v>
      </c>
      <c r="D54" s="8" t="s">
        <v>411</v>
      </c>
      <c r="E54" s="8" t="s">
        <v>412</v>
      </c>
      <c r="F54" s="8" t="s">
        <v>413</v>
      </c>
      <c r="G54" s="6" t="s">
        <v>81</v>
      </c>
      <c r="H54" s="6" t="s">
        <v>99</v>
      </c>
      <c r="I54" s="8"/>
      <c r="J54" s="9">
        <v>1</v>
      </c>
      <c r="K54" s="9">
        <v>376</v>
      </c>
      <c r="L54" s="9">
        <v>2025</v>
      </c>
      <c r="M54" s="8" t="s">
        <v>414</v>
      </c>
      <c r="N54" s="8" t="s">
        <v>42</v>
      </c>
      <c r="O54" s="8" t="s">
        <v>101</v>
      </c>
      <c r="P54" s="6" t="s">
        <v>415</v>
      </c>
      <c r="Q54" s="8" t="s">
        <v>416</v>
      </c>
      <c r="R54" s="10" t="s">
        <v>417</v>
      </c>
      <c r="S54" s="11"/>
      <c r="T54" s="6"/>
      <c r="U54" s="24" t="str">
        <f>HYPERLINK("https://media.infra-m.ru/2186/2186853/cover/2186853.jpg", "Обложка")</f>
        <v>Обложка</v>
      </c>
      <c r="V54" s="24" t="str">
        <f>HYPERLINK("https://znanium.ru/catalog/product/2174353", "Ознакомиться")</f>
        <v>Ознакомиться</v>
      </c>
      <c r="W54" s="8" t="s">
        <v>418</v>
      </c>
      <c r="X54" s="6"/>
      <c r="Y54" s="6"/>
      <c r="Z54" s="6"/>
      <c r="AA54" s="6" t="s">
        <v>419</v>
      </c>
      <c r="AB54" s="8"/>
    </row>
    <row r="55" spans="1:28" s="4" customFormat="1" ht="51.95" customHeight="1">
      <c r="A55" s="5">
        <v>0</v>
      </c>
      <c r="B55" s="6" t="s">
        <v>420</v>
      </c>
      <c r="C55" s="7">
        <v>1980</v>
      </c>
      <c r="D55" s="8" t="s">
        <v>421</v>
      </c>
      <c r="E55" s="8" t="s">
        <v>422</v>
      </c>
      <c r="F55" s="8" t="s">
        <v>413</v>
      </c>
      <c r="G55" s="6" t="s">
        <v>81</v>
      </c>
      <c r="H55" s="6" t="s">
        <v>99</v>
      </c>
      <c r="I55" s="8"/>
      <c r="J55" s="9">
        <v>1</v>
      </c>
      <c r="K55" s="9">
        <v>352</v>
      </c>
      <c r="L55" s="9">
        <v>2024</v>
      </c>
      <c r="M55" s="8" t="s">
        <v>423</v>
      </c>
      <c r="N55" s="8" t="s">
        <v>42</v>
      </c>
      <c r="O55" s="8" t="s">
        <v>101</v>
      </c>
      <c r="P55" s="6" t="s">
        <v>415</v>
      </c>
      <c r="Q55" s="8" t="s">
        <v>416</v>
      </c>
      <c r="R55" s="10" t="s">
        <v>417</v>
      </c>
      <c r="S55" s="11"/>
      <c r="T55" s="6"/>
      <c r="U55" s="24" t="str">
        <f>HYPERLINK("https://media.infra-m.ru/2113/2113851/cover/2113851.jpg", "Обложка")</f>
        <v>Обложка</v>
      </c>
      <c r="V55" s="24" t="str">
        <f>HYPERLINK("https://znanium.ru/catalog/product/2174353", "Ознакомиться")</f>
        <v>Ознакомиться</v>
      </c>
      <c r="W55" s="8" t="s">
        <v>418</v>
      </c>
      <c r="X55" s="6"/>
      <c r="Y55" s="6"/>
      <c r="Z55" s="6"/>
      <c r="AA55" s="6" t="s">
        <v>424</v>
      </c>
      <c r="AB55" s="8"/>
    </row>
    <row r="56" spans="1:28" s="4" customFormat="1" ht="51.95" customHeight="1">
      <c r="A56" s="5">
        <v>0</v>
      </c>
      <c r="B56" s="6" t="s">
        <v>425</v>
      </c>
      <c r="C56" s="7">
        <v>1524</v>
      </c>
      <c r="D56" s="8" t="s">
        <v>426</v>
      </c>
      <c r="E56" s="8" t="s">
        <v>427</v>
      </c>
      <c r="F56" s="8" t="s">
        <v>413</v>
      </c>
      <c r="G56" s="6" t="s">
        <v>81</v>
      </c>
      <c r="H56" s="6" t="s">
        <v>99</v>
      </c>
      <c r="I56" s="8"/>
      <c r="J56" s="9">
        <v>1</v>
      </c>
      <c r="K56" s="9">
        <v>352</v>
      </c>
      <c r="L56" s="9">
        <v>2021</v>
      </c>
      <c r="M56" s="8" t="s">
        <v>428</v>
      </c>
      <c r="N56" s="8" t="s">
        <v>42</v>
      </c>
      <c r="O56" s="8" t="s">
        <v>101</v>
      </c>
      <c r="P56" s="6" t="s">
        <v>415</v>
      </c>
      <c r="Q56" s="8" t="s">
        <v>416</v>
      </c>
      <c r="R56" s="10" t="s">
        <v>417</v>
      </c>
      <c r="S56" s="11"/>
      <c r="T56" s="6"/>
      <c r="U56" s="24" t="str">
        <f>HYPERLINK("https://media.infra-m.ru/1222/1222790/cover/1222790.jpg", "Обложка")</f>
        <v>Обложка</v>
      </c>
      <c r="V56" s="24" t="str">
        <f>HYPERLINK("https://znanium.ru/catalog/product/2174353", "Ознакомиться")</f>
        <v>Ознакомиться</v>
      </c>
      <c r="W56" s="8" t="s">
        <v>418</v>
      </c>
      <c r="X56" s="6"/>
      <c r="Y56" s="6"/>
      <c r="Z56" s="6"/>
      <c r="AA56" s="6" t="s">
        <v>369</v>
      </c>
      <c r="AB56" s="8"/>
    </row>
    <row r="57" spans="1:28" s="4" customFormat="1" ht="51.95" customHeight="1">
      <c r="A57" s="5">
        <v>0</v>
      </c>
      <c r="B57" s="6" t="s">
        <v>429</v>
      </c>
      <c r="C57" s="7">
        <v>1056</v>
      </c>
      <c r="D57" s="8" t="s">
        <v>430</v>
      </c>
      <c r="E57" s="8" t="s">
        <v>431</v>
      </c>
      <c r="F57" s="8" t="s">
        <v>413</v>
      </c>
      <c r="G57" s="6" t="s">
        <v>81</v>
      </c>
      <c r="H57" s="6" t="s">
        <v>99</v>
      </c>
      <c r="I57" s="8"/>
      <c r="J57" s="9">
        <v>1</v>
      </c>
      <c r="K57" s="9">
        <v>168</v>
      </c>
      <c r="L57" s="9">
        <v>2025</v>
      </c>
      <c r="M57" s="8" t="s">
        <v>432</v>
      </c>
      <c r="N57" s="8" t="s">
        <v>42</v>
      </c>
      <c r="O57" s="8" t="s">
        <v>101</v>
      </c>
      <c r="P57" s="6" t="s">
        <v>44</v>
      </c>
      <c r="Q57" s="8" t="s">
        <v>45</v>
      </c>
      <c r="R57" s="10" t="s">
        <v>433</v>
      </c>
      <c r="S57" s="11"/>
      <c r="T57" s="6"/>
      <c r="U57" s="24" t="str">
        <f>HYPERLINK("https://media.infra-m.ru/2195/2195988/cover/2195988.jpg", "Обложка")</f>
        <v>Обложка</v>
      </c>
      <c r="V57" s="24" t="str">
        <f>HYPERLINK("https://znanium.ru/catalog/product/1900993", "Ознакомиться")</f>
        <v>Ознакомиться</v>
      </c>
      <c r="W57" s="8" t="s">
        <v>418</v>
      </c>
      <c r="X57" s="6"/>
      <c r="Y57" s="6"/>
      <c r="Z57" s="6"/>
      <c r="AA57" s="6" t="s">
        <v>168</v>
      </c>
      <c r="AB57" s="8"/>
    </row>
    <row r="58" spans="1:28" s="4" customFormat="1" ht="51.95" customHeight="1">
      <c r="A58" s="5">
        <v>0</v>
      </c>
      <c r="B58" s="6" t="s">
        <v>434</v>
      </c>
      <c r="C58" s="7">
        <v>1980</v>
      </c>
      <c r="D58" s="8" t="s">
        <v>435</v>
      </c>
      <c r="E58" s="8" t="s">
        <v>436</v>
      </c>
      <c r="F58" s="8" t="s">
        <v>437</v>
      </c>
      <c r="G58" s="6" t="s">
        <v>38</v>
      </c>
      <c r="H58" s="6" t="s">
        <v>39</v>
      </c>
      <c r="I58" s="8" t="s">
        <v>40</v>
      </c>
      <c r="J58" s="9">
        <v>1</v>
      </c>
      <c r="K58" s="9">
        <v>330</v>
      </c>
      <c r="L58" s="9">
        <v>2025</v>
      </c>
      <c r="M58" s="8" t="s">
        <v>438</v>
      </c>
      <c r="N58" s="8" t="s">
        <v>42</v>
      </c>
      <c r="O58" s="8" t="s">
        <v>101</v>
      </c>
      <c r="P58" s="6" t="s">
        <v>44</v>
      </c>
      <c r="Q58" s="8" t="s">
        <v>45</v>
      </c>
      <c r="R58" s="10" t="s">
        <v>439</v>
      </c>
      <c r="S58" s="11"/>
      <c r="T58" s="6"/>
      <c r="U58" s="24" t="str">
        <f>HYPERLINK("https://media.infra-m.ru/2116/2116655/cover/2116655.jpg", "Обложка")</f>
        <v>Обложка</v>
      </c>
      <c r="V58" s="24" t="str">
        <f>HYPERLINK("https://znanium.ru/catalog/product/2116655", "Ознакомиться")</f>
        <v>Ознакомиться</v>
      </c>
      <c r="W58" s="8" t="s">
        <v>361</v>
      </c>
      <c r="X58" s="6"/>
      <c r="Y58" s="6"/>
      <c r="Z58" s="6"/>
      <c r="AA58" s="6" t="s">
        <v>199</v>
      </c>
      <c r="AB58" s="8"/>
    </row>
    <row r="59" spans="1:28" s="4" customFormat="1" ht="51.95" customHeight="1">
      <c r="A59" s="5">
        <v>0</v>
      </c>
      <c r="B59" s="6" t="s">
        <v>440</v>
      </c>
      <c r="C59" s="7">
        <v>1344</v>
      </c>
      <c r="D59" s="8" t="s">
        <v>441</v>
      </c>
      <c r="E59" s="8" t="s">
        <v>442</v>
      </c>
      <c r="F59" s="8" t="s">
        <v>443</v>
      </c>
      <c r="G59" s="6" t="s">
        <v>81</v>
      </c>
      <c r="H59" s="6" t="s">
        <v>99</v>
      </c>
      <c r="I59" s="8"/>
      <c r="J59" s="9">
        <v>1</v>
      </c>
      <c r="K59" s="9">
        <v>248</v>
      </c>
      <c r="L59" s="9">
        <v>2023</v>
      </c>
      <c r="M59" s="8" t="s">
        <v>444</v>
      </c>
      <c r="N59" s="8" t="s">
        <v>42</v>
      </c>
      <c r="O59" s="8" t="s">
        <v>101</v>
      </c>
      <c r="P59" s="6" t="s">
        <v>44</v>
      </c>
      <c r="Q59" s="8" t="s">
        <v>45</v>
      </c>
      <c r="R59" s="10" t="s">
        <v>409</v>
      </c>
      <c r="S59" s="11"/>
      <c r="T59" s="6"/>
      <c r="U59" s="24" t="str">
        <f>HYPERLINK("https://media.infra-m.ru/1912/1912411/cover/1912411.jpg", "Обложка")</f>
        <v>Обложка</v>
      </c>
      <c r="V59" s="24" t="str">
        <f>HYPERLINK("https://znanium.ru/catalog/product/1912411", "Ознакомиться")</f>
        <v>Ознакомиться</v>
      </c>
      <c r="W59" s="8" t="s">
        <v>418</v>
      </c>
      <c r="X59" s="6"/>
      <c r="Y59" s="6"/>
      <c r="Z59" s="6"/>
      <c r="AA59" s="6" t="s">
        <v>76</v>
      </c>
      <c r="AB59" s="8"/>
    </row>
    <row r="60" spans="1:28" s="4" customFormat="1" ht="51.95" customHeight="1">
      <c r="A60" s="5">
        <v>0</v>
      </c>
      <c r="B60" s="6" t="s">
        <v>445</v>
      </c>
      <c r="C60" s="7">
        <v>1068</v>
      </c>
      <c r="D60" s="8" t="s">
        <v>446</v>
      </c>
      <c r="E60" s="8" t="s">
        <v>447</v>
      </c>
      <c r="F60" s="8" t="s">
        <v>448</v>
      </c>
      <c r="G60" s="6" t="s">
        <v>38</v>
      </c>
      <c r="H60" s="6" t="s">
        <v>39</v>
      </c>
      <c r="I60" s="8" t="s">
        <v>40</v>
      </c>
      <c r="J60" s="9">
        <v>1</v>
      </c>
      <c r="K60" s="9">
        <v>169</v>
      </c>
      <c r="L60" s="9">
        <v>2025</v>
      </c>
      <c r="M60" s="8" t="s">
        <v>449</v>
      </c>
      <c r="N60" s="8" t="s">
        <v>42</v>
      </c>
      <c r="O60" s="8" t="s">
        <v>101</v>
      </c>
      <c r="P60" s="6" t="s">
        <v>44</v>
      </c>
      <c r="Q60" s="8" t="s">
        <v>45</v>
      </c>
      <c r="R60" s="10" t="s">
        <v>390</v>
      </c>
      <c r="S60" s="11"/>
      <c r="T60" s="6"/>
      <c r="U60" s="24" t="str">
        <f>HYPERLINK("https://media.infra-m.ru/2206/2206496/cover/2206496.jpg", "Обложка")</f>
        <v>Обложка</v>
      </c>
      <c r="V60" s="24" t="str">
        <f>HYPERLINK("https://znanium.ru/catalog/product/2206496", "Ознакомиться")</f>
        <v>Ознакомиться</v>
      </c>
      <c r="W60" s="8" t="s">
        <v>391</v>
      </c>
      <c r="X60" s="6" t="s">
        <v>450</v>
      </c>
      <c r="Y60" s="6"/>
      <c r="Z60" s="6"/>
      <c r="AA60" s="6" t="s">
        <v>159</v>
      </c>
      <c r="AB60" s="8"/>
    </row>
    <row r="61" spans="1:28" s="4" customFormat="1" ht="42" customHeight="1">
      <c r="A61" s="5">
        <v>0</v>
      </c>
      <c r="B61" s="6" t="s">
        <v>451</v>
      </c>
      <c r="C61" s="7">
        <v>1896</v>
      </c>
      <c r="D61" s="8" t="s">
        <v>452</v>
      </c>
      <c r="E61" s="8" t="s">
        <v>453</v>
      </c>
      <c r="F61" s="8" t="s">
        <v>454</v>
      </c>
      <c r="G61" s="6" t="s">
        <v>132</v>
      </c>
      <c r="H61" s="6" t="s">
        <v>39</v>
      </c>
      <c r="I61" s="8" t="s">
        <v>40</v>
      </c>
      <c r="J61" s="9">
        <v>1</v>
      </c>
      <c r="K61" s="9">
        <v>289</v>
      </c>
      <c r="L61" s="9">
        <v>2025</v>
      </c>
      <c r="M61" s="8" t="s">
        <v>455</v>
      </c>
      <c r="N61" s="8" t="s">
        <v>42</v>
      </c>
      <c r="O61" s="8" t="s">
        <v>101</v>
      </c>
      <c r="P61" s="6" t="s">
        <v>44</v>
      </c>
      <c r="Q61" s="8" t="s">
        <v>45</v>
      </c>
      <c r="R61" s="10" t="s">
        <v>456</v>
      </c>
      <c r="S61" s="11"/>
      <c r="T61" s="6"/>
      <c r="U61" s="24" t="str">
        <f>HYPERLINK("https://media.infra-m.ru/2189/2189089/cover/2189089.jpg", "Обложка")</f>
        <v>Обложка</v>
      </c>
      <c r="V61" s="24" t="str">
        <f>HYPERLINK("https://znanium.ru/catalog/product/2189089", "Ознакомиться")</f>
        <v>Ознакомиться</v>
      </c>
      <c r="W61" s="8" t="s">
        <v>391</v>
      </c>
      <c r="X61" s="6" t="s">
        <v>450</v>
      </c>
      <c r="Y61" s="6"/>
      <c r="Z61" s="6"/>
      <c r="AA61" s="6" t="s">
        <v>159</v>
      </c>
      <c r="AB61" s="8"/>
    </row>
    <row r="62" spans="1:28" s="4" customFormat="1" ht="51.95" customHeight="1">
      <c r="A62" s="5">
        <v>0</v>
      </c>
      <c r="B62" s="6" t="s">
        <v>457</v>
      </c>
      <c r="C62" s="13">
        <v>756</v>
      </c>
      <c r="D62" s="8" t="s">
        <v>458</v>
      </c>
      <c r="E62" s="8" t="s">
        <v>459</v>
      </c>
      <c r="F62" s="8" t="s">
        <v>460</v>
      </c>
      <c r="G62" s="6" t="s">
        <v>38</v>
      </c>
      <c r="H62" s="6" t="s">
        <v>39</v>
      </c>
      <c r="I62" s="8" t="s">
        <v>40</v>
      </c>
      <c r="J62" s="9">
        <v>1</v>
      </c>
      <c r="K62" s="9">
        <v>124</v>
      </c>
      <c r="L62" s="9">
        <v>2024</v>
      </c>
      <c r="M62" s="8" t="s">
        <v>461</v>
      </c>
      <c r="N62" s="8" t="s">
        <v>42</v>
      </c>
      <c r="O62" s="8" t="s">
        <v>101</v>
      </c>
      <c r="P62" s="6" t="s">
        <v>44</v>
      </c>
      <c r="Q62" s="8" t="s">
        <v>45</v>
      </c>
      <c r="R62" s="10" t="s">
        <v>462</v>
      </c>
      <c r="S62" s="11"/>
      <c r="T62" s="6"/>
      <c r="U62" s="24" t="str">
        <f>HYPERLINK("https://media.infra-m.ru/2001/2001725/cover/2001725.jpg", "Обложка")</f>
        <v>Обложка</v>
      </c>
      <c r="V62" s="24" t="str">
        <f>HYPERLINK("https://znanium.ru/catalog/product/2001725", "Ознакомиться")</f>
        <v>Ознакомиться</v>
      </c>
      <c r="W62" s="8" t="s">
        <v>191</v>
      </c>
      <c r="X62" s="6"/>
      <c r="Y62" s="6"/>
      <c r="Z62" s="6"/>
      <c r="AA62" s="6" t="s">
        <v>58</v>
      </c>
      <c r="AB62" s="8"/>
    </row>
    <row r="63" spans="1:28" s="4" customFormat="1" ht="44.1" customHeight="1">
      <c r="A63" s="5">
        <v>0</v>
      </c>
      <c r="B63" s="6" t="s">
        <v>463</v>
      </c>
      <c r="C63" s="7">
        <v>1444.8</v>
      </c>
      <c r="D63" s="8" t="s">
        <v>464</v>
      </c>
      <c r="E63" s="8" t="s">
        <v>465</v>
      </c>
      <c r="F63" s="8" t="s">
        <v>466</v>
      </c>
      <c r="G63" s="6" t="s">
        <v>81</v>
      </c>
      <c r="H63" s="6" t="s">
        <v>99</v>
      </c>
      <c r="I63" s="8"/>
      <c r="J63" s="9">
        <v>1</v>
      </c>
      <c r="K63" s="9">
        <v>240</v>
      </c>
      <c r="L63" s="9">
        <v>2025</v>
      </c>
      <c r="M63" s="8" t="s">
        <v>467</v>
      </c>
      <c r="N63" s="8" t="s">
        <v>42</v>
      </c>
      <c r="O63" s="8" t="s">
        <v>101</v>
      </c>
      <c r="P63" s="6" t="s">
        <v>44</v>
      </c>
      <c r="Q63" s="8" t="s">
        <v>45</v>
      </c>
      <c r="R63" s="10" t="s">
        <v>468</v>
      </c>
      <c r="S63" s="11"/>
      <c r="T63" s="6"/>
      <c r="U63" s="24" t="str">
        <f>HYPERLINK("https://media.infra-m.ru/2170/2170379/cover/2170379.jpg", "Обложка")</f>
        <v>Обложка</v>
      </c>
      <c r="V63" s="24" t="str">
        <f>HYPERLINK("https://znanium.ru/catalog/product/1915709", "Ознакомиться")</f>
        <v>Ознакомиться</v>
      </c>
      <c r="W63" s="8" t="s">
        <v>418</v>
      </c>
      <c r="X63" s="6"/>
      <c r="Y63" s="6"/>
      <c r="Z63" s="6"/>
      <c r="AA63" s="6" t="s">
        <v>369</v>
      </c>
      <c r="AB63" s="8"/>
    </row>
    <row r="64" spans="1:28" s="4" customFormat="1" ht="44.1" customHeight="1">
      <c r="A64" s="5">
        <v>0</v>
      </c>
      <c r="B64" s="6" t="s">
        <v>469</v>
      </c>
      <c r="C64" s="7">
        <v>1128</v>
      </c>
      <c r="D64" s="8" t="s">
        <v>470</v>
      </c>
      <c r="E64" s="8" t="s">
        <v>471</v>
      </c>
      <c r="F64" s="8" t="s">
        <v>472</v>
      </c>
      <c r="G64" s="6" t="s">
        <v>38</v>
      </c>
      <c r="H64" s="6" t="s">
        <v>39</v>
      </c>
      <c r="I64" s="8" t="s">
        <v>40</v>
      </c>
      <c r="J64" s="9">
        <v>1</v>
      </c>
      <c r="K64" s="9">
        <v>203</v>
      </c>
      <c r="L64" s="9">
        <v>2024</v>
      </c>
      <c r="M64" s="8" t="s">
        <v>473</v>
      </c>
      <c r="N64" s="8" t="s">
        <v>220</v>
      </c>
      <c r="O64" s="8" t="s">
        <v>474</v>
      </c>
      <c r="P64" s="6" t="s">
        <v>44</v>
      </c>
      <c r="Q64" s="8" t="s">
        <v>45</v>
      </c>
      <c r="R64" s="10" t="s">
        <v>475</v>
      </c>
      <c r="S64" s="11"/>
      <c r="T64" s="6"/>
      <c r="U64" s="24" t="str">
        <f>HYPERLINK("https://media.infra-m.ru/1902/1902414/cover/1902414.jpg", "Обложка")</f>
        <v>Обложка</v>
      </c>
      <c r="V64" s="24" t="str">
        <f>HYPERLINK("https://znanium.ru/catalog/product/1902414", "Ознакомиться")</f>
        <v>Ознакомиться</v>
      </c>
      <c r="W64" s="8" t="s">
        <v>476</v>
      </c>
      <c r="X64" s="6"/>
      <c r="Y64" s="6"/>
      <c r="Z64" s="6"/>
      <c r="AA64" s="6" t="s">
        <v>290</v>
      </c>
      <c r="AB64" s="8"/>
    </row>
    <row r="65" spans="1:28" s="4" customFormat="1" ht="51.95" customHeight="1">
      <c r="A65" s="5">
        <v>0</v>
      </c>
      <c r="B65" s="6" t="s">
        <v>477</v>
      </c>
      <c r="C65" s="13">
        <v>888</v>
      </c>
      <c r="D65" s="8" t="s">
        <v>478</v>
      </c>
      <c r="E65" s="8" t="s">
        <v>479</v>
      </c>
      <c r="F65" s="8" t="s">
        <v>480</v>
      </c>
      <c r="G65" s="6" t="s">
        <v>81</v>
      </c>
      <c r="H65" s="6" t="s">
        <v>39</v>
      </c>
      <c r="I65" s="8" t="s">
        <v>40</v>
      </c>
      <c r="J65" s="9">
        <v>1</v>
      </c>
      <c r="K65" s="9">
        <v>156</v>
      </c>
      <c r="L65" s="9">
        <v>2023</v>
      </c>
      <c r="M65" s="8" t="s">
        <v>481</v>
      </c>
      <c r="N65" s="8" t="s">
        <v>284</v>
      </c>
      <c r="O65" s="8" t="s">
        <v>482</v>
      </c>
      <c r="P65" s="6" t="s">
        <v>44</v>
      </c>
      <c r="Q65" s="8" t="s">
        <v>45</v>
      </c>
      <c r="R65" s="10" t="s">
        <v>483</v>
      </c>
      <c r="S65" s="11"/>
      <c r="T65" s="6"/>
      <c r="U65" s="24" t="str">
        <f>HYPERLINK("https://media.infra-m.ru/2019/2019757/cover/2019757.jpg", "Обложка")</f>
        <v>Обложка</v>
      </c>
      <c r="V65" s="24" t="str">
        <f>HYPERLINK("https://znanium.ru/catalog/product/2019757", "Ознакомиться")</f>
        <v>Ознакомиться</v>
      </c>
      <c r="W65" s="8" t="s">
        <v>484</v>
      </c>
      <c r="X65" s="6"/>
      <c r="Y65" s="6"/>
      <c r="Z65" s="6"/>
      <c r="AA65" s="6" t="s">
        <v>68</v>
      </c>
      <c r="AB65" s="8"/>
    </row>
    <row r="66" spans="1:28" s="4" customFormat="1" ht="42" customHeight="1">
      <c r="A66" s="5">
        <v>0</v>
      </c>
      <c r="B66" s="6" t="s">
        <v>485</v>
      </c>
      <c r="C66" s="7">
        <v>1308</v>
      </c>
      <c r="D66" s="8" t="s">
        <v>486</v>
      </c>
      <c r="E66" s="8" t="s">
        <v>487</v>
      </c>
      <c r="F66" s="8" t="s">
        <v>488</v>
      </c>
      <c r="G66" s="6" t="s">
        <v>38</v>
      </c>
      <c r="H66" s="6" t="s">
        <v>39</v>
      </c>
      <c r="I66" s="8" t="s">
        <v>40</v>
      </c>
      <c r="J66" s="9">
        <v>1</v>
      </c>
      <c r="K66" s="9">
        <v>170</v>
      </c>
      <c r="L66" s="9">
        <v>2025</v>
      </c>
      <c r="M66" s="8" t="s">
        <v>489</v>
      </c>
      <c r="N66" s="8" t="s">
        <v>229</v>
      </c>
      <c r="O66" s="8" t="s">
        <v>230</v>
      </c>
      <c r="P66" s="6" t="s">
        <v>44</v>
      </c>
      <c r="Q66" s="8" t="s">
        <v>45</v>
      </c>
      <c r="R66" s="10" t="s">
        <v>490</v>
      </c>
      <c r="S66" s="11"/>
      <c r="T66" s="6"/>
      <c r="U66" s="24" t="str">
        <f>HYPERLINK("https://media.infra-m.ru/2150/2150917/cover/2150917.jpg", "Обложка")</f>
        <v>Обложка</v>
      </c>
      <c r="V66" s="24" t="str">
        <f>HYPERLINK("https://znanium.ru/catalog/product/2150917", "Ознакомиться")</f>
        <v>Ознакомиться</v>
      </c>
      <c r="W66" s="8" t="s">
        <v>491</v>
      </c>
      <c r="X66" s="6" t="s">
        <v>492</v>
      </c>
      <c r="Y66" s="6"/>
      <c r="Z66" s="6"/>
      <c r="AA66" s="6" t="s">
        <v>321</v>
      </c>
      <c r="AB66" s="8"/>
    </row>
    <row r="67" spans="1:28" s="4" customFormat="1" ht="42" customHeight="1">
      <c r="A67" s="5">
        <v>0</v>
      </c>
      <c r="B67" s="6" t="s">
        <v>493</v>
      </c>
      <c r="C67" s="13">
        <v>780</v>
      </c>
      <c r="D67" s="8" t="s">
        <v>494</v>
      </c>
      <c r="E67" s="8" t="s">
        <v>495</v>
      </c>
      <c r="F67" s="8" t="s">
        <v>488</v>
      </c>
      <c r="G67" s="6" t="s">
        <v>38</v>
      </c>
      <c r="H67" s="6" t="s">
        <v>39</v>
      </c>
      <c r="I67" s="8" t="s">
        <v>40</v>
      </c>
      <c r="J67" s="9">
        <v>1</v>
      </c>
      <c r="K67" s="9">
        <v>137</v>
      </c>
      <c r="L67" s="9">
        <v>2024</v>
      </c>
      <c r="M67" s="8" t="s">
        <v>496</v>
      </c>
      <c r="N67" s="8" t="s">
        <v>229</v>
      </c>
      <c r="O67" s="8" t="s">
        <v>230</v>
      </c>
      <c r="P67" s="6" t="s">
        <v>44</v>
      </c>
      <c r="Q67" s="8" t="s">
        <v>45</v>
      </c>
      <c r="R67" s="10" t="s">
        <v>490</v>
      </c>
      <c r="S67" s="11"/>
      <c r="T67" s="6"/>
      <c r="U67" s="24" t="str">
        <f>HYPERLINK("https://media.infra-m.ru/2139/2139292/cover/2139292.jpg", "Обложка")</f>
        <v>Обложка</v>
      </c>
      <c r="V67" s="24" t="str">
        <f>HYPERLINK("https://znanium.ru/catalog/product/2150917", "Ознакомиться")</f>
        <v>Ознакомиться</v>
      </c>
      <c r="W67" s="8" t="s">
        <v>491</v>
      </c>
      <c r="X67" s="6"/>
      <c r="Y67" s="6"/>
      <c r="Z67" s="6"/>
      <c r="AA67" s="6" t="s">
        <v>339</v>
      </c>
      <c r="AB67" s="8"/>
    </row>
    <row r="68" spans="1:28" s="4" customFormat="1" ht="44.1" customHeight="1">
      <c r="A68" s="5">
        <v>0</v>
      </c>
      <c r="B68" s="6" t="s">
        <v>497</v>
      </c>
      <c r="C68" s="7">
        <v>1320</v>
      </c>
      <c r="D68" s="8" t="s">
        <v>498</v>
      </c>
      <c r="E68" s="8" t="s">
        <v>499</v>
      </c>
      <c r="F68" s="8" t="s">
        <v>500</v>
      </c>
      <c r="G68" s="6" t="s">
        <v>38</v>
      </c>
      <c r="H68" s="6" t="s">
        <v>39</v>
      </c>
      <c r="I68" s="8" t="s">
        <v>164</v>
      </c>
      <c r="J68" s="9">
        <v>1</v>
      </c>
      <c r="K68" s="9">
        <v>239</v>
      </c>
      <c r="L68" s="9">
        <v>2024</v>
      </c>
      <c r="M68" s="8" t="s">
        <v>501</v>
      </c>
      <c r="N68" s="8" t="s">
        <v>42</v>
      </c>
      <c r="O68" s="8" t="s">
        <v>189</v>
      </c>
      <c r="P68" s="6" t="s">
        <v>44</v>
      </c>
      <c r="Q68" s="8" t="s">
        <v>45</v>
      </c>
      <c r="R68" s="10" t="s">
        <v>502</v>
      </c>
      <c r="S68" s="11"/>
      <c r="T68" s="6"/>
      <c r="U68" s="24" t="str">
        <f>HYPERLINK("https://media.infra-m.ru/2086/2086351/cover/2086351.jpg", "Обложка")</f>
        <v>Обложка</v>
      </c>
      <c r="V68" s="24" t="str">
        <f>HYPERLINK("https://znanium.ru/catalog/product/2086351", "Ознакомиться")</f>
        <v>Ознакомиться</v>
      </c>
      <c r="W68" s="8" t="s">
        <v>167</v>
      </c>
      <c r="X68" s="6"/>
      <c r="Y68" s="6"/>
      <c r="Z68" s="6"/>
      <c r="AA68" s="6" t="s">
        <v>58</v>
      </c>
      <c r="AB68" s="8"/>
    </row>
    <row r="69" spans="1:28" s="4" customFormat="1" ht="42" customHeight="1">
      <c r="A69" s="5">
        <v>0</v>
      </c>
      <c r="B69" s="6" t="s">
        <v>503</v>
      </c>
      <c r="C69" s="7">
        <v>1056</v>
      </c>
      <c r="D69" s="8" t="s">
        <v>504</v>
      </c>
      <c r="E69" s="8" t="s">
        <v>505</v>
      </c>
      <c r="F69" s="8" t="s">
        <v>506</v>
      </c>
      <c r="G69" s="6" t="s">
        <v>132</v>
      </c>
      <c r="H69" s="6" t="s">
        <v>39</v>
      </c>
      <c r="I69" s="8" t="s">
        <v>40</v>
      </c>
      <c r="J69" s="9">
        <v>1</v>
      </c>
      <c r="K69" s="9">
        <v>176</v>
      </c>
      <c r="L69" s="9">
        <v>2024</v>
      </c>
      <c r="M69" s="8" t="s">
        <v>507</v>
      </c>
      <c r="N69" s="8" t="s">
        <v>229</v>
      </c>
      <c r="O69" s="8" t="s">
        <v>230</v>
      </c>
      <c r="P69" s="6" t="s">
        <v>44</v>
      </c>
      <c r="Q69" s="8" t="s">
        <v>45</v>
      </c>
      <c r="R69" s="10" t="s">
        <v>508</v>
      </c>
      <c r="S69" s="11"/>
      <c r="T69" s="6"/>
      <c r="U69" s="24" t="str">
        <f>HYPERLINK("https://media.infra-m.ru/2137/2137584/cover/2137584.jpg", "Обложка")</f>
        <v>Обложка</v>
      </c>
      <c r="V69" s="24" t="str">
        <f>HYPERLINK("https://znanium.ru/catalog/product/2137584", "Ознакомиться")</f>
        <v>Ознакомиться</v>
      </c>
      <c r="W69" s="8" t="s">
        <v>509</v>
      </c>
      <c r="X69" s="6"/>
      <c r="Y69" s="6"/>
      <c r="Z69" s="6"/>
      <c r="AA69" s="6" t="s">
        <v>58</v>
      </c>
      <c r="AB69" s="8"/>
    </row>
    <row r="70" spans="1:28" s="4" customFormat="1" ht="51.95" customHeight="1">
      <c r="A70" s="5">
        <v>0</v>
      </c>
      <c r="B70" s="6" t="s">
        <v>510</v>
      </c>
      <c r="C70" s="7">
        <v>1380</v>
      </c>
      <c r="D70" s="8" t="s">
        <v>511</v>
      </c>
      <c r="E70" s="8" t="s">
        <v>512</v>
      </c>
      <c r="F70" s="8" t="s">
        <v>513</v>
      </c>
      <c r="G70" s="6" t="s">
        <v>38</v>
      </c>
      <c r="H70" s="6" t="s">
        <v>182</v>
      </c>
      <c r="I70" s="8" t="s">
        <v>40</v>
      </c>
      <c r="J70" s="9">
        <v>1</v>
      </c>
      <c r="K70" s="9">
        <v>216</v>
      </c>
      <c r="L70" s="9">
        <v>2025</v>
      </c>
      <c r="M70" s="8" t="s">
        <v>514</v>
      </c>
      <c r="N70" s="8" t="s">
        <v>284</v>
      </c>
      <c r="O70" s="8" t="s">
        <v>383</v>
      </c>
      <c r="P70" s="6" t="s">
        <v>44</v>
      </c>
      <c r="Q70" s="8" t="s">
        <v>45</v>
      </c>
      <c r="R70" s="10" t="s">
        <v>515</v>
      </c>
      <c r="S70" s="11"/>
      <c r="T70" s="6"/>
      <c r="U70" s="24" t="str">
        <f>HYPERLINK("https://media.infra-m.ru/2169/2169152/cover/2169152.jpg", "Обложка")</f>
        <v>Обложка</v>
      </c>
      <c r="V70" s="24" t="str">
        <f>HYPERLINK("https://znanium.ru/catalog/product/2169152", "Ознакомиться")</f>
        <v>Ознакомиться</v>
      </c>
      <c r="W70" s="8" t="s">
        <v>516</v>
      </c>
      <c r="X70" s="6" t="s">
        <v>517</v>
      </c>
      <c r="Y70" s="6"/>
      <c r="Z70" s="6"/>
      <c r="AA70" s="6" t="s">
        <v>321</v>
      </c>
      <c r="AB70" s="8"/>
    </row>
    <row r="71" spans="1:28" s="4" customFormat="1" ht="51.95" customHeight="1">
      <c r="A71" s="5">
        <v>0</v>
      </c>
      <c r="B71" s="6" t="s">
        <v>518</v>
      </c>
      <c r="C71" s="7">
        <v>1168.8</v>
      </c>
      <c r="D71" s="8" t="s">
        <v>519</v>
      </c>
      <c r="E71" s="8" t="s">
        <v>520</v>
      </c>
      <c r="F71" s="8" t="s">
        <v>521</v>
      </c>
      <c r="G71" s="6" t="s">
        <v>38</v>
      </c>
      <c r="H71" s="6" t="s">
        <v>39</v>
      </c>
      <c r="I71" s="8" t="s">
        <v>40</v>
      </c>
      <c r="J71" s="9">
        <v>1</v>
      </c>
      <c r="K71" s="9">
        <v>188</v>
      </c>
      <c r="L71" s="9">
        <v>2026</v>
      </c>
      <c r="M71" s="8" t="s">
        <v>522</v>
      </c>
      <c r="N71" s="8" t="s">
        <v>220</v>
      </c>
      <c r="O71" s="8" t="s">
        <v>296</v>
      </c>
      <c r="P71" s="6" t="s">
        <v>44</v>
      </c>
      <c r="Q71" s="8" t="s">
        <v>45</v>
      </c>
      <c r="R71" s="10" t="s">
        <v>523</v>
      </c>
      <c r="S71" s="11"/>
      <c r="T71" s="6"/>
      <c r="U71" s="24" t="str">
        <f>HYPERLINK("https://media.infra-m.ru/2219/2219042/cover/2219042.jpg", "Обложка")</f>
        <v>Обложка</v>
      </c>
      <c r="V71" s="24" t="str">
        <f>HYPERLINK("https://znanium.ru/catalog/product/1876806", "Ознакомиться")</f>
        <v>Ознакомиться</v>
      </c>
      <c r="W71" s="8" t="s">
        <v>524</v>
      </c>
      <c r="X71" s="6"/>
      <c r="Y71" s="6"/>
      <c r="Z71" s="6"/>
      <c r="AA71" s="6" t="s">
        <v>168</v>
      </c>
      <c r="AB71" s="8"/>
    </row>
    <row r="72" spans="1:28" s="4" customFormat="1" ht="51.95" customHeight="1">
      <c r="A72" s="5">
        <v>0</v>
      </c>
      <c r="B72" s="6" t="s">
        <v>525</v>
      </c>
      <c r="C72" s="13">
        <v>636</v>
      </c>
      <c r="D72" s="8" t="s">
        <v>526</v>
      </c>
      <c r="E72" s="8" t="s">
        <v>527</v>
      </c>
      <c r="F72" s="8" t="s">
        <v>513</v>
      </c>
      <c r="G72" s="6" t="s">
        <v>38</v>
      </c>
      <c r="H72" s="6" t="s">
        <v>182</v>
      </c>
      <c r="I72" s="8" t="s">
        <v>40</v>
      </c>
      <c r="J72" s="9">
        <v>1</v>
      </c>
      <c r="K72" s="9">
        <v>111</v>
      </c>
      <c r="L72" s="9">
        <v>2023</v>
      </c>
      <c r="M72" s="8" t="s">
        <v>528</v>
      </c>
      <c r="N72" s="8" t="s">
        <v>284</v>
      </c>
      <c r="O72" s="8" t="s">
        <v>383</v>
      </c>
      <c r="P72" s="6" t="s">
        <v>44</v>
      </c>
      <c r="Q72" s="8" t="s">
        <v>45</v>
      </c>
      <c r="R72" s="10" t="s">
        <v>515</v>
      </c>
      <c r="S72" s="11"/>
      <c r="T72" s="6"/>
      <c r="U72" s="24" t="str">
        <f>HYPERLINK("https://media.infra-m.ru/1915/1915704/cover/1915704.jpg", "Обложка")</f>
        <v>Обложка</v>
      </c>
      <c r="V72" s="24" t="str">
        <f>HYPERLINK("https://znanium.ru/catalog/product/2169152", "Ознакомиться")</f>
        <v>Ознакомиться</v>
      </c>
      <c r="W72" s="8" t="s">
        <v>516</v>
      </c>
      <c r="X72" s="6"/>
      <c r="Y72" s="6"/>
      <c r="Z72" s="6"/>
      <c r="AA72" s="6" t="s">
        <v>369</v>
      </c>
      <c r="AB72" s="8"/>
    </row>
    <row r="73" spans="1:28" s="4" customFormat="1" ht="51.95" customHeight="1">
      <c r="A73" s="5">
        <v>0</v>
      </c>
      <c r="B73" s="6" t="s">
        <v>529</v>
      </c>
      <c r="C73" s="13">
        <v>816</v>
      </c>
      <c r="D73" s="8" t="s">
        <v>530</v>
      </c>
      <c r="E73" s="8" t="s">
        <v>531</v>
      </c>
      <c r="F73" s="8" t="s">
        <v>532</v>
      </c>
      <c r="G73" s="6" t="s">
        <v>38</v>
      </c>
      <c r="H73" s="6" t="s">
        <v>39</v>
      </c>
      <c r="I73" s="8" t="s">
        <v>40</v>
      </c>
      <c r="J73" s="9">
        <v>1</v>
      </c>
      <c r="K73" s="9">
        <v>131</v>
      </c>
      <c r="L73" s="9">
        <v>2026</v>
      </c>
      <c r="M73" s="8" t="s">
        <v>533</v>
      </c>
      <c r="N73" s="8" t="s">
        <v>229</v>
      </c>
      <c r="O73" s="8" t="s">
        <v>230</v>
      </c>
      <c r="P73" s="6" t="s">
        <v>44</v>
      </c>
      <c r="Q73" s="8" t="s">
        <v>45</v>
      </c>
      <c r="R73" s="10" t="s">
        <v>534</v>
      </c>
      <c r="S73" s="11"/>
      <c r="T73" s="6"/>
      <c r="U73" s="24" t="str">
        <f>HYPERLINK("https://media.infra-m.ru/2139/2139293/cover/2139293.jpg", "Обложка")</f>
        <v>Обложка</v>
      </c>
      <c r="V73" s="24" t="str">
        <f>HYPERLINK("https://znanium.ru/catalog/product/2139293", "Ознакомиться")</f>
        <v>Ознакомиться</v>
      </c>
      <c r="W73" s="8" t="s">
        <v>535</v>
      </c>
      <c r="X73" s="6"/>
      <c r="Y73" s="6"/>
      <c r="Z73" s="6"/>
      <c r="AA73" s="6" t="s">
        <v>536</v>
      </c>
      <c r="AB73" s="8"/>
    </row>
    <row r="74" spans="1:28" s="4" customFormat="1" ht="51.95" customHeight="1">
      <c r="A74" s="5">
        <v>0</v>
      </c>
      <c r="B74" s="6" t="s">
        <v>537</v>
      </c>
      <c r="C74" s="13">
        <v>964.8</v>
      </c>
      <c r="D74" s="8" t="s">
        <v>538</v>
      </c>
      <c r="E74" s="8" t="s">
        <v>539</v>
      </c>
      <c r="F74" s="8" t="s">
        <v>540</v>
      </c>
      <c r="G74" s="6" t="s">
        <v>38</v>
      </c>
      <c r="H74" s="6" t="s">
        <v>39</v>
      </c>
      <c r="I74" s="8" t="s">
        <v>40</v>
      </c>
      <c r="J74" s="9">
        <v>1</v>
      </c>
      <c r="K74" s="9">
        <v>154</v>
      </c>
      <c r="L74" s="9">
        <v>2025</v>
      </c>
      <c r="M74" s="8" t="s">
        <v>541</v>
      </c>
      <c r="N74" s="8" t="s">
        <v>42</v>
      </c>
      <c r="O74" s="8" t="s">
        <v>246</v>
      </c>
      <c r="P74" s="6" t="s">
        <v>44</v>
      </c>
      <c r="Q74" s="8" t="s">
        <v>45</v>
      </c>
      <c r="R74" s="10" t="s">
        <v>542</v>
      </c>
      <c r="S74" s="11"/>
      <c r="T74" s="6"/>
      <c r="U74" s="24" t="str">
        <f>HYPERLINK("https://media.infra-m.ru/2208/2208439/cover/2208439.jpg", "Обложка")</f>
        <v>Обложка</v>
      </c>
      <c r="V74" s="24" t="str">
        <f>HYPERLINK("https://znanium.ru/catalog/product/2137740", "Ознакомиться")</f>
        <v>Ознакомиться</v>
      </c>
      <c r="W74" s="8" t="s">
        <v>543</v>
      </c>
      <c r="X74" s="6"/>
      <c r="Y74" s="6"/>
      <c r="Z74" s="6"/>
      <c r="AA74" s="6" t="s">
        <v>199</v>
      </c>
      <c r="AB74" s="8"/>
    </row>
    <row r="75" spans="1:28" s="4" customFormat="1" ht="51.95" customHeight="1">
      <c r="A75" s="5">
        <v>0</v>
      </c>
      <c r="B75" s="6" t="s">
        <v>544</v>
      </c>
      <c r="C75" s="7">
        <v>1792.8</v>
      </c>
      <c r="D75" s="8" t="s">
        <v>545</v>
      </c>
      <c r="E75" s="8" t="s">
        <v>546</v>
      </c>
      <c r="F75" s="8" t="s">
        <v>547</v>
      </c>
      <c r="G75" s="6" t="s">
        <v>38</v>
      </c>
      <c r="H75" s="6" t="s">
        <v>39</v>
      </c>
      <c r="I75" s="8" t="s">
        <v>40</v>
      </c>
      <c r="J75" s="9">
        <v>1</v>
      </c>
      <c r="K75" s="9">
        <v>286</v>
      </c>
      <c r="L75" s="9">
        <v>2025</v>
      </c>
      <c r="M75" s="8" t="s">
        <v>548</v>
      </c>
      <c r="N75" s="8" t="s">
        <v>284</v>
      </c>
      <c r="O75" s="8" t="s">
        <v>482</v>
      </c>
      <c r="P75" s="6" t="s">
        <v>44</v>
      </c>
      <c r="Q75" s="8" t="s">
        <v>45</v>
      </c>
      <c r="R75" s="10" t="s">
        <v>549</v>
      </c>
      <c r="S75" s="11"/>
      <c r="T75" s="6"/>
      <c r="U75" s="24" t="str">
        <f>HYPERLINK("https://media.infra-m.ru/2203/2203147/cover/2203147.jpg", "Обложка")</f>
        <v>Обложка</v>
      </c>
      <c r="V75" s="24" t="str">
        <f>HYPERLINK("https://znanium.ru/catalog/product/2080722", "Ознакомиться")</f>
        <v>Ознакомиться</v>
      </c>
      <c r="W75" s="8" t="s">
        <v>550</v>
      </c>
      <c r="X75" s="6"/>
      <c r="Y75" s="6"/>
      <c r="Z75" s="6"/>
      <c r="AA75" s="6" t="s">
        <v>168</v>
      </c>
      <c r="AB75" s="8"/>
    </row>
    <row r="76" spans="1:28" s="4" customFormat="1" ht="51.95" customHeight="1">
      <c r="A76" s="5">
        <v>0</v>
      </c>
      <c r="B76" s="6" t="s">
        <v>551</v>
      </c>
      <c r="C76" s="7">
        <v>1104</v>
      </c>
      <c r="D76" s="8" t="s">
        <v>552</v>
      </c>
      <c r="E76" s="8" t="s">
        <v>553</v>
      </c>
      <c r="F76" s="8" t="s">
        <v>554</v>
      </c>
      <c r="G76" s="6" t="s">
        <v>132</v>
      </c>
      <c r="H76" s="6" t="s">
        <v>39</v>
      </c>
      <c r="I76" s="8" t="s">
        <v>40</v>
      </c>
      <c r="J76" s="9">
        <v>1</v>
      </c>
      <c r="K76" s="9">
        <v>169</v>
      </c>
      <c r="L76" s="9">
        <v>2025</v>
      </c>
      <c r="M76" s="8" t="s">
        <v>555</v>
      </c>
      <c r="N76" s="8" t="s">
        <v>42</v>
      </c>
      <c r="O76" s="8" t="s">
        <v>101</v>
      </c>
      <c r="P76" s="6" t="s">
        <v>44</v>
      </c>
      <c r="Q76" s="8" t="s">
        <v>45</v>
      </c>
      <c r="R76" s="10" t="s">
        <v>556</v>
      </c>
      <c r="S76" s="11"/>
      <c r="T76" s="6"/>
      <c r="U76" s="24" t="str">
        <f>HYPERLINK("https://media.infra-m.ru/2171/2171042/cover/2171042.jpg", "Обложка")</f>
        <v>Обложка</v>
      </c>
      <c r="V76" s="24" t="str">
        <f>HYPERLINK("https://znanium.ru/catalog/product/2171042", "Ознакомиться")</f>
        <v>Ознакомиться</v>
      </c>
      <c r="W76" s="8" t="s">
        <v>557</v>
      </c>
      <c r="X76" s="6" t="s">
        <v>558</v>
      </c>
      <c r="Y76" s="6"/>
      <c r="Z76" s="6"/>
      <c r="AA76" s="6" t="s">
        <v>159</v>
      </c>
      <c r="AB76" s="8"/>
    </row>
    <row r="77" spans="1:28" s="4" customFormat="1" ht="42" customHeight="1">
      <c r="A77" s="5">
        <v>0</v>
      </c>
      <c r="B77" s="6" t="s">
        <v>559</v>
      </c>
      <c r="C77" s="7">
        <v>1696.8</v>
      </c>
      <c r="D77" s="8" t="s">
        <v>560</v>
      </c>
      <c r="E77" s="8" t="s">
        <v>561</v>
      </c>
      <c r="F77" s="8" t="s">
        <v>562</v>
      </c>
      <c r="G77" s="6" t="s">
        <v>38</v>
      </c>
      <c r="H77" s="6" t="s">
        <v>99</v>
      </c>
      <c r="I77" s="8"/>
      <c r="J77" s="9">
        <v>1</v>
      </c>
      <c r="K77" s="9">
        <v>272</v>
      </c>
      <c r="L77" s="9">
        <v>2026</v>
      </c>
      <c r="M77" s="8" t="s">
        <v>563</v>
      </c>
      <c r="N77" s="8" t="s">
        <v>42</v>
      </c>
      <c r="O77" s="8" t="s">
        <v>101</v>
      </c>
      <c r="P77" s="6" t="s">
        <v>44</v>
      </c>
      <c r="Q77" s="8" t="s">
        <v>45</v>
      </c>
      <c r="R77" s="10" t="s">
        <v>564</v>
      </c>
      <c r="S77" s="11"/>
      <c r="T77" s="6"/>
      <c r="U77" s="24" t="str">
        <f>HYPERLINK("https://media.infra-m.ru/2221/2221563/cover/2221563.jpg", "Обложка")</f>
        <v>Обложка</v>
      </c>
      <c r="V77" s="24" t="str">
        <f>HYPERLINK("https://znanium.ru/catalog/product/2133753", "Ознакомиться")</f>
        <v>Ознакомиться</v>
      </c>
      <c r="W77" s="8" t="s">
        <v>565</v>
      </c>
      <c r="X77" s="6"/>
      <c r="Y77" s="6"/>
      <c r="Z77" s="6"/>
      <c r="AA77" s="6" t="s">
        <v>566</v>
      </c>
      <c r="AB77" s="8"/>
    </row>
    <row r="78" spans="1:28" s="4" customFormat="1" ht="42" customHeight="1">
      <c r="A78" s="5">
        <v>0</v>
      </c>
      <c r="B78" s="6" t="s">
        <v>567</v>
      </c>
      <c r="C78" s="7">
        <v>1552.8</v>
      </c>
      <c r="D78" s="8" t="s">
        <v>568</v>
      </c>
      <c r="E78" s="8" t="s">
        <v>569</v>
      </c>
      <c r="F78" s="8" t="s">
        <v>570</v>
      </c>
      <c r="G78" s="6" t="s">
        <v>26</v>
      </c>
      <c r="H78" s="6" t="s">
        <v>571</v>
      </c>
      <c r="I78" s="8"/>
      <c r="J78" s="9">
        <v>1</v>
      </c>
      <c r="K78" s="9">
        <v>264</v>
      </c>
      <c r="L78" s="9">
        <v>2024</v>
      </c>
      <c r="M78" s="8" t="s">
        <v>572</v>
      </c>
      <c r="N78" s="8" t="s">
        <v>42</v>
      </c>
      <c r="O78" s="8" t="s">
        <v>189</v>
      </c>
      <c r="P78" s="6" t="s">
        <v>44</v>
      </c>
      <c r="Q78" s="8" t="s">
        <v>45</v>
      </c>
      <c r="R78" s="10" t="s">
        <v>573</v>
      </c>
      <c r="S78" s="11"/>
      <c r="T78" s="6"/>
      <c r="U78" s="24" t="str">
        <f>HYPERLINK("https://media.infra-m.ru/2157/2157176/cover/2157176.jpg", "Обложка")</f>
        <v>Обложка</v>
      </c>
      <c r="V78" s="24" t="str">
        <f>HYPERLINK("https://znanium.ru/catalog/product/959995", "Ознакомиться")</f>
        <v>Ознакомиться</v>
      </c>
      <c r="W78" s="8" t="s">
        <v>574</v>
      </c>
      <c r="X78" s="6"/>
      <c r="Y78" s="6"/>
      <c r="Z78" s="6"/>
      <c r="AA78" s="6" t="s">
        <v>127</v>
      </c>
      <c r="AB78" s="8"/>
    </row>
    <row r="79" spans="1:28" s="4" customFormat="1" ht="42" customHeight="1">
      <c r="A79" s="5">
        <v>0</v>
      </c>
      <c r="B79" s="6" t="s">
        <v>575</v>
      </c>
      <c r="C79" s="7">
        <v>2034</v>
      </c>
      <c r="D79" s="8" t="s">
        <v>576</v>
      </c>
      <c r="E79" s="8" t="s">
        <v>577</v>
      </c>
      <c r="F79" s="8" t="s">
        <v>578</v>
      </c>
      <c r="G79" s="6" t="s">
        <v>81</v>
      </c>
      <c r="H79" s="6" t="s">
        <v>99</v>
      </c>
      <c r="I79" s="8"/>
      <c r="J79" s="9">
        <v>1</v>
      </c>
      <c r="K79" s="9">
        <v>304</v>
      </c>
      <c r="L79" s="9">
        <v>2026</v>
      </c>
      <c r="M79" s="8" t="s">
        <v>579</v>
      </c>
      <c r="N79" s="8" t="s">
        <v>42</v>
      </c>
      <c r="O79" s="8" t="s">
        <v>101</v>
      </c>
      <c r="P79" s="6" t="s">
        <v>580</v>
      </c>
      <c r="Q79" s="8"/>
      <c r="R79" s="10" t="s">
        <v>581</v>
      </c>
      <c r="S79" s="11"/>
      <c r="T79" s="6"/>
      <c r="U79" s="24" t="str">
        <f>HYPERLINK("https://media.infra-m.ru/2227/2227441/cover/2227441.jpg", "Обложка")</f>
        <v>Обложка</v>
      </c>
      <c r="V79" s="24" t="str">
        <f>HYPERLINK("https://znanium.ru/catalog/product/2227441", "Ознакомиться")</f>
        <v>Ознакомиться</v>
      </c>
      <c r="W79" s="8"/>
      <c r="X79" s="6"/>
      <c r="Y79" s="6"/>
      <c r="Z79" s="6"/>
      <c r="AA79" s="6" t="s">
        <v>58</v>
      </c>
      <c r="AB79" s="8"/>
    </row>
    <row r="80" spans="1:28" s="4" customFormat="1" ht="42" customHeight="1">
      <c r="A80" s="5">
        <v>0</v>
      </c>
      <c r="B80" s="6" t="s">
        <v>582</v>
      </c>
      <c r="C80" s="7">
        <v>1056</v>
      </c>
      <c r="D80" s="8" t="s">
        <v>583</v>
      </c>
      <c r="E80" s="8" t="s">
        <v>584</v>
      </c>
      <c r="F80" s="8" t="s">
        <v>585</v>
      </c>
      <c r="G80" s="6" t="s">
        <v>38</v>
      </c>
      <c r="H80" s="6" t="s">
        <v>39</v>
      </c>
      <c r="I80" s="8" t="s">
        <v>40</v>
      </c>
      <c r="J80" s="9">
        <v>1</v>
      </c>
      <c r="K80" s="9">
        <v>174</v>
      </c>
      <c r="L80" s="9">
        <v>2024</v>
      </c>
      <c r="M80" s="8" t="s">
        <v>586</v>
      </c>
      <c r="N80" s="8" t="s">
        <v>42</v>
      </c>
      <c r="O80" s="8" t="s">
        <v>101</v>
      </c>
      <c r="P80" s="6" t="s">
        <v>44</v>
      </c>
      <c r="Q80" s="8" t="s">
        <v>45</v>
      </c>
      <c r="R80" s="10" t="s">
        <v>269</v>
      </c>
      <c r="S80" s="11"/>
      <c r="T80" s="6"/>
      <c r="U80" s="24" t="str">
        <f>HYPERLINK("https://media.infra-m.ru/2137/2137552/cover/2137552.jpg", "Обложка")</f>
        <v>Обложка</v>
      </c>
      <c r="V80" s="24" t="str">
        <f>HYPERLINK("https://znanium.ru/catalog/product/2137552", "Ознакомиться")</f>
        <v>Ознакомиться</v>
      </c>
      <c r="W80" s="8" t="s">
        <v>557</v>
      </c>
      <c r="X80" s="6"/>
      <c r="Y80" s="6"/>
      <c r="Z80" s="6"/>
      <c r="AA80" s="6" t="s">
        <v>58</v>
      </c>
      <c r="AB80" s="8"/>
    </row>
    <row r="81" spans="1:28" s="4" customFormat="1" ht="44.1" customHeight="1">
      <c r="A81" s="5">
        <v>0</v>
      </c>
      <c r="B81" s="6" t="s">
        <v>587</v>
      </c>
      <c r="C81" s="13">
        <v>964.8</v>
      </c>
      <c r="D81" s="8" t="s">
        <v>588</v>
      </c>
      <c r="E81" s="8" t="s">
        <v>589</v>
      </c>
      <c r="F81" s="8" t="s">
        <v>590</v>
      </c>
      <c r="G81" s="6" t="s">
        <v>38</v>
      </c>
      <c r="H81" s="6" t="s">
        <v>39</v>
      </c>
      <c r="I81" s="8" t="s">
        <v>40</v>
      </c>
      <c r="J81" s="9">
        <v>1</v>
      </c>
      <c r="K81" s="9">
        <v>157</v>
      </c>
      <c r="L81" s="9">
        <v>2025</v>
      </c>
      <c r="M81" s="8" t="s">
        <v>591</v>
      </c>
      <c r="N81" s="8" t="s">
        <v>42</v>
      </c>
      <c r="O81" s="8" t="s">
        <v>43</v>
      </c>
      <c r="P81" s="6" t="s">
        <v>44</v>
      </c>
      <c r="Q81" s="8" t="s">
        <v>45</v>
      </c>
      <c r="R81" s="10" t="s">
        <v>592</v>
      </c>
      <c r="S81" s="11"/>
      <c r="T81" s="6"/>
      <c r="U81" s="24" t="str">
        <f>HYPERLINK("https://media.infra-m.ru/2185/2185115/cover/2185115.jpg", "Обложка")</f>
        <v>Обложка</v>
      </c>
      <c r="V81" s="24" t="str">
        <f>HYPERLINK("https://znanium.ru/catalog/product/2143156", "Ознакомиться")</f>
        <v>Ознакомиться</v>
      </c>
      <c r="W81" s="8" t="s">
        <v>593</v>
      </c>
      <c r="X81" s="6"/>
      <c r="Y81" s="6"/>
      <c r="Z81" s="6"/>
      <c r="AA81" s="6" t="s">
        <v>594</v>
      </c>
      <c r="AB81" s="8"/>
    </row>
    <row r="82" spans="1:28" s="4" customFormat="1" ht="42" customHeight="1">
      <c r="A82" s="5">
        <v>0</v>
      </c>
      <c r="B82" s="6" t="s">
        <v>595</v>
      </c>
      <c r="C82" s="7">
        <v>1248</v>
      </c>
      <c r="D82" s="8" t="s">
        <v>596</v>
      </c>
      <c r="E82" s="8" t="s">
        <v>597</v>
      </c>
      <c r="F82" s="8" t="s">
        <v>598</v>
      </c>
      <c r="G82" s="6" t="s">
        <v>38</v>
      </c>
      <c r="H82" s="6" t="s">
        <v>39</v>
      </c>
      <c r="I82" s="8" t="s">
        <v>40</v>
      </c>
      <c r="J82" s="9">
        <v>1</v>
      </c>
      <c r="K82" s="9">
        <v>232</v>
      </c>
      <c r="L82" s="9">
        <v>2023</v>
      </c>
      <c r="M82" s="8" t="s">
        <v>599</v>
      </c>
      <c r="N82" s="8" t="s">
        <v>42</v>
      </c>
      <c r="O82" s="8" t="s">
        <v>101</v>
      </c>
      <c r="P82" s="6" t="s">
        <v>580</v>
      </c>
      <c r="Q82" s="8" t="s">
        <v>45</v>
      </c>
      <c r="R82" s="10" t="s">
        <v>600</v>
      </c>
      <c r="S82" s="11"/>
      <c r="T82" s="6"/>
      <c r="U82" s="24" t="str">
        <f>HYPERLINK("https://media.infra-m.ru/1895/1895176/cover/1895176.jpg", "Обложка")</f>
        <v>Обложка</v>
      </c>
      <c r="V82" s="24" t="str">
        <f>HYPERLINK("https://znanium.ru/catalog/product/1895176", "Ознакомиться")</f>
        <v>Ознакомиться</v>
      </c>
      <c r="W82" s="8" t="s">
        <v>601</v>
      </c>
      <c r="X82" s="6"/>
      <c r="Y82" s="6"/>
      <c r="Z82" s="6"/>
      <c r="AA82" s="6" t="s">
        <v>339</v>
      </c>
      <c r="AB82" s="8"/>
    </row>
    <row r="83" spans="1:28" s="4" customFormat="1" ht="51.95" customHeight="1">
      <c r="A83" s="5">
        <v>0</v>
      </c>
      <c r="B83" s="6" t="s">
        <v>602</v>
      </c>
      <c r="C83" s="7">
        <v>1968</v>
      </c>
      <c r="D83" s="8" t="s">
        <v>603</v>
      </c>
      <c r="E83" s="8" t="s">
        <v>604</v>
      </c>
      <c r="F83" s="8" t="s">
        <v>605</v>
      </c>
      <c r="G83" s="6" t="s">
        <v>132</v>
      </c>
      <c r="H83" s="6" t="s">
        <v>99</v>
      </c>
      <c r="I83" s="8"/>
      <c r="J83" s="9">
        <v>1</v>
      </c>
      <c r="K83" s="9">
        <v>328</v>
      </c>
      <c r="L83" s="9">
        <v>2025</v>
      </c>
      <c r="M83" s="8" t="s">
        <v>606</v>
      </c>
      <c r="N83" s="8" t="s">
        <v>42</v>
      </c>
      <c r="O83" s="8" t="s">
        <v>101</v>
      </c>
      <c r="P83" s="6" t="s">
        <v>44</v>
      </c>
      <c r="Q83" s="8" t="s">
        <v>607</v>
      </c>
      <c r="R83" s="10" t="s">
        <v>608</v>
      </c>
      <c r="S83" s="11"/>
      <c r="T83" s="6"/>
      <c r="U83" s="24" t="str">
        <f>HYPERLINK("https://media.infra-m.ru/2157/2157350/cover/2157350.jpg", "Обложка")</f>
        <v>Обложка</v>
      </c>
      <c r="V83" s="24" t="str">
        <f>HYPERLINK("https://znanium.ru/catalog/product/2157350", "Ознакомиться")</f>
        <v>Ознакомиться</v>
      </c>
      <c r="W83" s="8" t="s">
        <v>418</v>
      </c>
      <c r="X83" s="6"/>
      <c r="Y83" s="6"/>
      <c r="Z83" s="6"/>
      <c r="AA83" s="6" t="s">
        <v>159</v>
      </c>
      <c r="AB83" s="8"/>
    </row>
    <row r="84" spans="1:28" s="4" customFormat="1" ht="42" customHeight="1">
      <c r="A84" s="5">
        <v>0</v>
      </c>
      <c r="B84" s="6" t="s">
        <v>609</v>
      </c>
      <c r="C84" s="7">
        <v>1104</v>
      </c>
      <c r="D84" s="8" t="s">
        <v>610</v>
      </c>
      <c r="E84" s="8" t="s">
        <v>611</v>
      </c>
      <c r="F84" s="8" t="s">
        <v>585</v>
      </c>
      <c r="G84" s="6" t="s">
        <v>132</v>
      </c>
      <c r="H84" s="6" t="s">
        <v>39</v>
      </c>
      <c r="I84" s="8" t="s">
        <v>40</v>
      </c>
      <c r="J84" s="9">
        <v>1</v>
      </c>
      <c r="K84" s="9">
        <v>204</v>
      </c>
      <c r="L84" s="9">
        <v>2023</v>
      </c>
      <c r="M84" s="8" t="s">
        <v>612</v>
      </c>
      <c r="N84" s="8" t="s">
        <v>42</v>
      </c>
      <c r="O84" s="8" t="s">
        <v>101</v>
      </c>
      <c r="P84" s="6" t="s">
        <v>44</v>
      </c>
      <c r="Q84" s="8" t="s">
        <v>45</v>
      </c>
      <c r="R84" s="10" t="s">
        <v>269</v>
      </c>
      <c r="S84" s="11"/>
      <c r="T84" s="6"/>
      <c r="U84" s="24" t="str">
        <f>HYPERLINK("https://media.infra-m.ru/1911/1911445/cover/1911445.jpg", "Обложка")</f>
        <v>Обложка</v>
      </c>
      <c r="V84" s="24" t="str">
        <f>HYPERLINK("https://znanium.ru/catalog/product/1911445", "Ознакомиться")</f>
        <v>Ознакомиться</v>
      </c>
      <c r="W84" s="8" t="s">
        <v>557</v>
      </c>
      <c r="X84" s="6"/>
      <c r="Y84" s="6"/>
      <c r="Z84" s="6"/>
      <c r="AA84" s="6" t="s">
        <v>119</v>
      </c>
      <c r="AB84" s="8" t="s">
        <v>613</v>
      </c>
    </row>
    <row r="85" spans="1:28" s="4" customFormat="1" ht="42" customHeight="1">
      <c r="A85" s="5">
        <v>0</v>
      </c>
      <c r="B85" s="6" t="s">
        <v>614</v>
      </c>
      <c r="C85" s="13">
        <v>660</v>
      </c>
      <c r="D85" s="8" t="s">
        <v>615</v>
      </c>
      <c r="E85" s="8" t="s">
        <v>616</v>
      </c>
      <c r="F85" s="8" t="s">
        <v>617</v>
      </c>
      <c r="G85" s="6" t="s">
        <v>38</v>
      </c>
      <c r="H85" s="6" t="s">
        <v>39</v>
      </c>
      <c r="I85" s="8" t="s">
        <v>40</v>
      </c>
      <c r="J85" s="9">
        <v>1</v>
      </c>
      <c r="K85" s="9">
        <v>123</v>
      </c>
      <c r="L85" s="9">
        <v>2023</v>
      </c>
      <c r="M85" s="8" t="s">
        <v>618</v>
      </c>
      <c r="N85" s="8" t="s">
        <v>42</v>
      </c>
      <c r="O85" s="8" t="s">
        <v>101</v>
      </c>
      <c r="P85" s="6" t="s">
        <v>44</v>
      </c>
      <c r="Q85" s="8" t="s">
        <v>45</v>
      </c>
      <c r="R85" s="10" t="s">
        <v>564</v>
      </c>
      <c r="S85" s="11"/>
      <c r="T85" s="6"/>
      <c r="U85" s="24" t="str">
        <f>HYPERLINK("https://media.infra-m.ru/1937/1937945/cover/1937945.jpg", "Обложка")</f>
        <v>Обложка</v>
      </c>
      <c r="V85" s="24" t="str">
        <f>HYPERLINK("https://znanium.ru/catalog/product/1937945", "Ознакомиться")</f>
        <v>Ознакомиться</v>
      </c>
      <c r="W85" s="8" t="s">
        <v>314</v>
      </c>
      <c r="X85" s="6"/>
      <c r="Y85" s="6"/>
      <c r="Z85" s="6"/>
      <c r="AA85" s="6" t="s">
        <v>290</v>
      </c>
      <c r="AB85" s="8"/>
    </row>
    <row r="86" spans="1:28" s="4" customFormat="1" ht="42" customHeight="1">
      <c r="A86" s="5">
        <v>0</v>
      </c>
      <c r="B86" s="6" t="s">
        <v>619</v>
      </c>
      <c r="C86" s="7">
        <v>1060.8</v>
      </c>
      <c r="D86" s="8" t="s">
        <v>620</v>
      </c>
      <c r="E86" s="8" t="s">
        <v>621</v>
      </c>
      <c r="F86" s="8" t="s">
        <v>622</v>
      </c>
      <c r="G86" s="6" t="s">
        <v>132</v>
      </c>
      <c r="H86" s="6" t="s">
        <v>623</v>
      </c>
      <c r="I86" s="8" t="s">
        <v>624</v>
      </c>
      <c r="J86" s="9">
        <v>1</v>
      </c>
      <c r="K86" s="9">
        <v>192</v>
      </c>
      <c r="L86" s="9">
        <v>2024</v>
      </c>
      <c r="M86" s="8" t="s">
        <v>625</v>
      </c>
      <c r="N86" s="8" t="s">
        <v>42</v>
      </c>
      <c r="O86" s="8" t="s">
        <v>101</v>
      </c>
      <c r="P86" s="6" t="s">
        <v>44</v>
      </c>
      <c r="Q86" s="8" t="s">
        <v>45</v>
      </c>
      <c r="R86" s="10" t="s">
        <v>600</v>
      </c>
      <c r="S86" s="11"/>
      <c r="T86" s="6"/>
      <c r="U86" s="24" t="str">
        <f>HYPERLINK("https://media.infra-m.ru/2088/2088245/cover/2088245.jpg", "Обложка")</f>
        <v>Обложка</v>
      </c>
      <c r="V86" s="12"/>
      <c r="W86" s="8" t="s">
        <v>626</v>
      </c>
      <c r="X86" s="6"/>
      <c r="Y86" s="6"/>
      <c r="Z86" s="6"/>
      <c r="AA86" s="6" t="s">
        <v>377</v>
      </c>
      <c r="AB86" s="8"/>
    </row>
    <row r="87" spans="1:28" s="4" customFormat="1" ht="42" customHeight="1">
      <c r="A87" s="5">
        <v>0</v>
      </c>
      <c r="B87" s="6" t="s">
        <v>627</v>
      </c>
      <c r="C87" s="7">
        <v>1704</v>
      </c>
      <c r="D87" s="8" t="s">
        <v>628</v>
      </c>
      <c r="E87" s="8" t="s">
        <v>629</v>
      </c>
      <c r="F87" s="8" t="s">
        <v>630</v>
      </c>
      <c r="G87" s="6" t="s">
        <v>132</v>
      </c>
      <c r="H87" s="6" t="s">
        <v>39</v>
      </c>
      <c r="I87" s="8" t="s">
        <v>40</v>
      </c>
      <c r="J87" s="9">
        <v>1</v>
      </c>
      <c r="K87" s="9">
        <v>308</v>
      </c>
      <c r="L87" s="9">
        <v>2024</v>
      </c>
      <c r="M87" s="8" t="s">
        <v>631</v>
      </c>
      <c r="N87" s="8" t="s">
        <v>42</v>
      </c>
      <c r="O87" s="8" t="s">
        <v>101</v>
      </c>
      <c r="P87" s="6" t="s">
        <v>44</v>
      </c>
      <c r="Q87" s="8" t="s">
        <v>45</v>
      </c>
      <c r="R87" s="10" t="s">
        <v>632</v>
      </c>
      <c r="S87" s="11"/>
      <c r="T87" s="6"/>
      <c r="U87" s="24" t="str">
        <f>HYPERLINK("https://media.infra-m.ru/2052/2052439/cover/2052439.jpg", "Обложка")</f>
        <v>Обложка</v>
      </c>
      <c r="V87" s="24" t="str">
        <f>HYPERLINK("https://znanium.ru/catalog/product/2052439", "Ознакомиться")</f>
        <v>Ознакомиться</v>
      </c>
      <c r="W87" s="8" t="s">
        <v>633</v>
      </c>
      <c r="X87" s="6"/>
      <c r="Y87" s="6"/>
      <c r="Z87" s="6"/>
      <c r="AA87" s="6" t="s">
        <v>58</v>
      </c>
      <c r="AB87" s="8" t="s">
        <v>634</v>
      </c>
    </row>
    <row r="88" spans="1:28" s="4" customFormat="1" ht="42" customHeight="1">
      <c r="A88" s="5">
        <v>0</v>
      </c>
      <c r="B88" s="6" t="s">
        <v>635</v>
      </c>
      <c r="C88" s="7">
        <v>1672.8</v>
      </c>
      <c r="D88" s="8" t="s">
        <v>636</v>
      </c>
      <c r="E88" s="8" t="s">
        <v>637</v>
      </c>
      <c r="F88" s="8" t="s">
        <v>638</v>
      </c>
      <c r="G88" s="6" t="s">
        <v>38</v>
      </c>
      <c r="H88" s="6" t="s">
        <v>99</v>
      </c>
      <c r="I88" s="8"/>
      <c r="J88" s="9">
        <v>1</v>
      </c>
      <c r="K88" s="9">
        <v>304</v>
      </c>
      <c r="L88" s="9">
        <v>2024</v>
      </c>
      <c r="M88" s="8" t="s">
        <v>639</v>
      </c>
      <c r="N88" s="8" t="s">
        <v>42</v>
      </c>
      <c r="O88" s="8" t="s">
        <v>101</v>
      </c>
      <c r="P88" s="6" t="s">
        <v>415</v>
      </c>
      <c r="Q88" s="8" t="s">
        <v>416</v>
      </c>
      <c r="R88" s="10" t="s">
        <v>640</v>
      </c>
      <c r="S88" s="11"/>
      <c r="T88" s="6"/>
      <c r="U88" s="24" t="str">
        <f>HYPERLINK("https://media.infra-m.ru/2102/2102181/cover/2102181.jpg", "Обложка")</f>
        <v>Обложка</v>
      </c>
      <c r="V88" s="24" t="str">
        <f>HYPERLINK("https://znanium.ru/catalog/product/1859036", "Ознакомиться")</f>
        <v>Ознакомиться</v>
      </c>
      <c r="W88" s="8" t="s">
        <v>641</v>
      </c>
      <c r="X88" s="6"/>
      <c r="Y88" s="6"/>
      <c r="Z88" s="6"/>
      <c r="AA88" s="6" t="s">
        <v>127</v>
      </c>
      <c r="AB88" s="8"/>
    </row>
    <row r="89" spans="1:28" s="4" customFormat="1" ht="44.1" customHeight="1">
      <c r="A89" s="5">
        <v>0</v>
      </c>
      <c r="B89" s="6" t="s">
        <v>642</v>
      </c>
      <c r="C89" s="7">
        <v>1644</v>
      </c>
      <c r="D89" s="8" t="s">
        <v>643</v>
      </c>
      <c r="E89" s="8" t="s">
        <v>644</v>
      </c>
      <c r="F89" s="8" t="s">
        <v>645</v>
      </c>
      <c r="G89" s="6" t="s">
        <v>81</v>
      </c>
      <c r="H89" s="6" t="s">
        <v>39</v>
      </c>
      <c r="I89" s="8" t="s">
        <v>336</v>
      </c>
      <c r="J89" s="9">
        <v>1</v>
      </c>
      <c r="K89" s="9">
        <v>304</v>
      </c>
      <c r="L89" s="9">
        <v>2023</v>
      </c>
      <c r="M89" s="8" t="s">
        <v>646</v>
      </c>
      <c r="N89" s="8" t="s">
        <v>42</v>
      </c>
      <c r="O89" s="8" t="s">
        <v>101</v>
      </c>
      <c r="P89" s="6" t="s">
        <v>44</v>
      </c>
      <c r="Q89" s="8" t="s">
        <v>45</v>
      </c>
      <c r="R89" s="10" t="s">
        <v>647</v>
      </c>
      <c r="S89" s="11"/>
      <c r="T89" s="6"/>
      <c r="U89" s="24" t="str">
        <f>HYPERLINK("https://media.infra-m.ru/1912/1912994/cover/1912994.jpg", "Обложка")</f>
        <v>Обложка</v>
      </c>
      <c r="V89" s="24" t="str">
        <f>HYPERLINK("https://znanium.ru/catalog/product/1912994", "Ознакомиться")</f>
        <v>Ознакомиться</v>
      </c>
      <c r="W89" s="8"/>
      <c r="X89" s="6"/>
      <c r="Y89" s="6" t="s">
        <v>30</v>
      </c>
      <c r="Z89" s="6"/>
      <c r="AA89" s="6" t="s">
        <v>377</v>
      </c>
      <c r="AB89" s="8"/>
    </row>
    <row r="90" spans="1:28" s="4" customFormat="1" ht="42" customHeight="1">
      <c r="A90" s="5">
        <v>0</v>
      </c>
      <c r="B90" s="6" t="s">
        <v>648</v>
      </c>
      <c r="C90" s="7">
        <v>1374</v>
      </c>
      <c r="D90" s="8" t="s">
        <v>649</v>
      </c>
      <c r="E90" s="8" t="s">
        <v>650</v>
      </c>
      <c r="F90" s="8" t="s">
        <v>651</v>
      </c>
      <c r="G90" s="6" t="s">
        <v>81</v>
      </c>
      <c r="H90" s="6" t="s">
        <v>99</v>
      </c>
      <c r="I90" s="8"/>
      <c r="J90" s="9">
        <v>1</v>
      </c>
      <c r="K90" s="9">
        <v>208</v>
      </c>
      <c r="L90" s="9">
        <v>2024</v>
      </c>
      <c r="M90" s="8" t="s">
        <v>652</v>
      </c>
      <c r="N90" s="8" t="s">
        <v>42</v>
      </c>
      <c r="O90" s="8" t="s">
        <v>101</v>
      </c>
      <c r="P90" s="6" t="s">
        <v>44</v>
      </c>
      <c r="Q90" s="8" t="s">
        <v>45</v>
      </c>
      <c r="R90" s="10" t="s">
        <v>640</v>
      </c>
      <c r="S90" s="11"/>
      <c r="T90" s="6"/>
      <c r="U90" s="24" t="str">
        <f>HYPERLINK("https://media.infra-m.ru/2091/2091901/cover/2091901.jpg", "Обложка")</f>
        <v>Обложка</v>
      </c>
      <c r="V90" s="24" t="str">
        <f>HYPERLINK("https://znanium.ru/catalog/product/1876623", "Ознакомиться")</f>
        <v>Ознакомиться</v>
      </c>
      <c r="W90" s="8" t="s">
        <v>418</v>
      </c>
      <c r="X90" s="6"/>
      <c r="Y90" s="6"/>
      <c r="Z90" s="6"/>
      <c r="AA90" s="6" t="s">
        <v>339</v>
      </c>
      <c r="AB90" s="8" t="s">
        <v>653</v>
      </c>
    </row>
    <row r="91" spans="1:28" s="4" customFormat="1" ht="51.95" customHeight="1">
      <c r="A91" s="5">
        <v>0</v>
      </c>
      <c r="B91" s="6" t="s">
        <v>654</v>
      </c>
      <c r="C91" s="13">
        <v>712.8</v>
      </c>
      <c r="D91" s="8" t="s">
        <v>655</v>
      </c>
      <c r="E91" s="8" t="s">
        <v>656</v>
      </c>
      <c r="F91" s="8" t="s">
        <v>657</v>
      </c>
      <c r="G91" s="6" t="s">
        <v>38</v>
      </c>
      <c r="H91" s="6" t="s">
        <v>326</v>
      </c>
      <c r="I91" s="8"/>
      <c r="J91" s="9">
        <v>1</v>
      </c>
      <c r="K91" s="9">
        <v>112</v>
      </c>
      <c r="L91" s="9">
        <v>2023</v>
      </c>
      <c r="M91" s="8" t="s">
        <v>658</v>
      </c>
      <c r="N91" s="8" t="s">
        <v>42</v>
      </c>
      <c r="O91" s="8" t="s">
        <v>65</v>
      </c>
      <c r="P91" s="6" t="s">
        <v>659</v>
      </c>
      <c r="Q91" s="8" t="s">
        <v>45</v>
      </c>
      <c r="R91" s="10" t="s">
        <v>660</v>
      </c>
      <c r="S91" s="11"/>
      <c r="T91" s="6"/>
      <c r="U91" s="24" t="str">
        <f>HYPERLINK("https://media.infra-m.ru/2126/2126585/cover/2126585.jpg", "Обложка")</f>
        <v>Обложка</v>
      </c>
      <c r="V91" s="24" t="str">
        <f>HYPERLINK("https://znanium.ru/catalog/product/2125533", "Ознакомиться")</f>
        <v>Ознакомиться</v>
      </c>
      <c r="W91" s="8"/>
      <c r="X91" s="6"/>
      <c r="Y91" s="6"/>
      <c r="Z91" s="6"/>
      <c r="AA91" s="6" t="s">
        <v>377</v>
      </c>
      <c r="AB91" s="8"/>
    </row>
    <row r="92" spans="1:28" s="4" customFormat="1" ht="51.95" customHeight="1">
      <c r="A92" s="5">
        <v>0</v>
      </c>
      <c r="B92" s="6" t="s">
        <v>661</v>
      </c>
      <c r="C92" s="13">
        <v>384</v>
      </c>
      <c r="D92" s="8" t="s">
        <v>662</v>
      </c>
      <c r="E92" s="8" t="s">
        <v>663</v>
      </c>
      <c r="F92" s="8" t="s">
        <v>664</v>
      </c>
      <c r="G92" s="6" t="s">
        <v>38</v>
      </c>
      <c r="H92" s="6" t="s">
        <v>39</v>
      </c>
      <c r="I92" s="8" t="s">
        <v>40</v>
      </c>
      <c r="J92" s="9">
        <v>1</v>
      </c>
      <c r="K92" s="9">
        <v>82</v>
      </c>
      <c r="L92" s="9">
        <v>2022</v>
      </c>
      <c r="M92" s="8" t="s">
        <v>665</v>
      </c>
      <c r="N92" s="8" t="s">
        <v>54</v>
      </c>
      <c r="O92" s="8" t="s">
        <v>55</v>
      </c>
      <c r="P92" s="6" t="s">
        <v>44</v>
      </c>
      <c r="Q92" s="8" t="s">
        <v>45</v>
      </c>
      <c r="R92" s="10" t="s">
        <v>666</v>
      </c>
      <c r="S92" s="11"/>
      <c r="T92" s="6"/>
      <c r="U92" s="24" t="str">
        <f>HYPERLINK("https://media.infra-m.ru/1862/1862662/cover/1862662.jpg", "Обложка")</f>
        <v>Обложка</v>
      </c>
      <c r="V92" s="24" t="str">
        <f>HYPERLINK("https://znanium.ru/catalog/product/1862662", "Ознакомиться")</f>
        <v>Ознакомиться</v>
      </c>
      <c r="W92" s="8" t="s">
        <v>667</v>
      </c>
      <c r="X92" s="6"/>
      <c r="Y92" s="6"/>
      <c r="Z92" s="6"/>
      <c r="AA92" s="6" t="s">
        <v>68</v>
      </c>
      <c r="AB92" s="8"/>
    </row>
    <row r="93" spans="1:28" s="4" customFormat="1" ht="44.1" customHeight="1">
      <c r="A93" s="5">
        <v>0</v>
      </c>
      <c r="B93" s="6" t="s">
        <v>668</v>
      </c>
      <c r="C93" s="7">
        <v>1380</v>
      </c>
      <c r="D93" s="8" t="s">
        <v>669</v>
      </c>
      <c r="E93" s="8" t="s">
        <v>670</v>
      </c>
      <c r="F93" s="8" t="s">
        <v>671</v>
      </c>
      <c r="G93" s="6" t="s">
        <v>132</v>
      </c>
      <c r="H93" s="6" t="s">
        <v>39</v>
      </c>
      <c r="I93" s="8" t="s">
        <v>40</v>
      </c>
      <c r="J93" s="9">
        <v>1</v>
      </c>
      <c r="K93" s="9">
        <v>244</v>
      </c>
      <c r="L93" s="9">
        <v>2023</v>
      </c>
      <c r="M93" s="8" t="s">
        <v>672</v>
      </c>
      <c r="N93" s="8" t="s">
        <v>54</v>
      </c>
      <c r="O93" s="8" t="s">
        <v>140</v>
      </c>
      <c r="P93" s="6" t="s">
        <v>44</v>
      </c>
      <c r="Q93" s="8" t="s">
        <v>45</v>
      </c>
      <c r="R93" s="10" t="s">
        <v>673</v>
      </c>
      <c r="S93" s="11"/>
      <c r="T93" s="6"/>
      <c r="U93" s="24" t="str">
        <f>HYPERLINK("https://media.infra-m.ru/1903/1903337/cover/1903337.jpg", "Обложка")</f>
        <v>Обложка</v>
      </c>
      <c r="V93" s="24" t="str">
        <f>HYPERLINK("https://znanium.ru/catalog/product/1903337", "Ознакомиться")</f>
        <v>Ознакомиться</v>
      </c>
      <c r="W93" s="8" t="s">
        <v>674</v>
      </c>
      <c r="X93" s="6"/>
      <c r="Y93" s="6"/>
      <c r="Z93" s="6"/>
      <c r="AA93" s="6" t="s">
        <v>119</v>
      </c>
      <c r="AB93" s="8"/>
    </row>
    <row r="94" spans="1:28" s="4" customFormat="1" ht="51.95" customHeight="1">
      <c r="A94" s="5">
        <v>0</v>
      </c>
      <c r="B94" s="6" t="s">
        <v>675</v>
      </c>
      <c r="C94" s="7">
        <v>1260</v>
      </c>
      <c r="D94" s="8" t="s">
        <v>676</v>
      </c>
      <c r="E94" s="8" t="s">
        <v>677</v>
      </c>
      <c r="F94" s="8" t="s">
        <v>678</v>
      </c>
      <c r="G94" s="6" t="s">
        <v>81</v>
      </c>
      <c r="H94" s="6" t="s">
        <v>39</v>
      </c>
      <c r="I94" s="8" t="s">
        <v>336</v>
      </c>
      <c r="J94" s="9">
        <v>1</v>
      </c>
      <c r="K94" s="9">
        <v>248</v>
      </c>
      <c r="L94" s="9">
        <v>2022</v>
      </c>
      <c r="M94" s="8" t="s">
        <v>679</v>
      </c>
      <c r="N94" s="8" t="s">
        <v>42</v>
      </c>
      <c r="O94" s="8" t="s">
        <v>101</v>
      </c>
      <c r="P94" s="6" t="s">
        <v>44</v>
      </c>
      <c r="Q94" s="8" t="s">
        <v>45</v>
      </c>
      <c r="R94" s="10" t="s">
        <v>680</v>
      </c>
      <c r="S94" s="11"/>
      <c r="T94" s="6"/>
      <c r="U94" s="24" t="str">
        <f>HYPERLINK("https://media.infra-m.ru/1877/1877127/cover/1877127.jpg", "Обложка")</f>
        <v>Обложка</v>
      </c>
      <c r="V94" s="12"/>
      <c r="W94" s="8" t="s">
        <v>103</v>
      </c>
      <c r="X94" s="6"/>
      <c r="Y94" s="6"/>
      <c r="Z94" s="6"/>
      <c r="AA94" s="6" t="s">
        <v>339</v>
      </c>
      <c r="AB94" s="8"/>
    </row>
    <row r="95" spans="1:28" s="4" customFormat="1" ht="42" customHeight="1">
      <c r="A95" s="5">
        <v>0</v>
      </c>
      <c r="B95" s="6" t="s">
        <v>681</v>
      </c>
      <c r="C95" s="13">
        <v>780</v>
      </c>
      <c r="D95" s="8" t="s">
        <v>682</v>
      </c>
      <c r="E95" s="8" t="s">
        <v>683</v>
      </c>
      <c r="F95" s="8" t="s">
        <v>684</v>
      </c>
      <c r="G95" s="6" t="s">
        <v>38</v>
      </c>
      <c r="H95" s="6" t="s">
        <v>182</v>
      </c>
      <c r="I95" s="8" t="s">
        <v>40</v>
      </c>
      <c r="J95" s="9">
        <v>1</v>
      </c>
      <c r="K95" s="9">
        <v>184</v>
      </c>
      <c r="L95" s="9">
        <v>2020</v>
      </c>
      <c r="M95" s="8" t="s">
        <v>685</v>
      </c>
      <c r="N95" s="8" t="s">
        <v>42</v>
      </c>
      <c r="O95" s="8" t="s">
        <v>101</v>
      </c>
      <c r="P95" s="6" t="s">
        <v>44</v>
      </c>
      <c r="Q95" s="8" t="s">
        <v>45</v>
      </c>
      <c r="R95" s="10" t="s">
        <v>269</v>
      </c>
      <c r="S95" s="11"/>
      <c r="T95" s="6"/>
      <c r="U95" s="24" t="str">
        <f>HYPERLINK("https://media.infra-m.ru/1078/1078355/cover/1078355.jpg", "Обложка")</f>
        <v>Обложка</v>
      </c>
      <c r="V95" s="12"/>
      <c r="W95" s="8" t="s">
        <v>686</v>
      </c>
      <c r="X95" s="6"/>
      <c r="Y95" s="6"/>
      <c r="Z95" s="6"/>
      <c r="AA95" s="6" t="s">
        <v>76</v>
      </c>
      <c r="AB95" s="8"/>
    </row>
    <row r="96" spans="1:28" s="4" customFormat="1" ht="44.1" customHeight="1">
      <c r="A96" s="5">
        <v>0</v>
      </c>
      <c r="B96" s="6" t="s">
        <v>687</v>
      </c>
      <c r="C96" s="7">
        <v>1452</v>
      </c>
      <c r="D96" s="8" t="s">
        <v>688</v>
      </c>
      <c r="E96" s="8" t="s">
        <v>689</v>
      </c>
      <c r="F96" s="8" t="s">
        <v>690</v>
      </c>
      <c r="G96" s="6" t="s">
        <v>81</v>
      </c>
      <c r="H96" s="6" t="s">
        <v>39</v>
      </c>
      <c r="I96" s="8" t="s">
        <v>40</v>
      </c>
      <c r="J96" s="9">
        <v>1</v>
      </c>
      <c r="K96" s="9">
        <v>232</v>
      </c>
      <c r="L96" s="9">
        <v>2025</v>
      </c>
      <c r="M96" s="8" t="s">
        <v>691</v>
      </c>
      <c r="N96" s="8" t="s">
        <v>42</v>
      </c>
      <c r="O96" s="8" t="s">
        <v>101</v>
      </c>
      <c r="P96" s="6" t="s">
        <v>44</v>
      </c>
      <c r="Q96" s="8" t="s">
        <v>45</v>
      </c>
      <c r="R96" s="10" t="s">
        <v>692</v>
      </c>
      <c r="S96" s="11"/>
      <c r="T96" s="6"/>
      <c r="U96" s="24" t="str">
        <f>HYPERLINK("https://media.infra-m.ru/2196/2196343/cover/2196343.jpg", "Обложка")</f>
        <v>Обложка</v>
      </c>
      <c r="V96" s="24" t="str">
        <f>HYPERLINK("https://znanium.ru/catalog/product/2196343", "Ознакомиться")</f>
        <v>Ознакомиться</v>
      </c>
      <c r="W96" s="8" t="s">
        <v>693</v>
      </c>
      <c r="X96" s="6"/>
      <c r="Y96" s="6"/>
      <c r="Z96" s="6"/>
      <c r="AA96" s="6" t="s">
        <v>58</v>
      </c>
      <c r="AB96" s="8"/>
    </row>
    <row r="97" spans="1:28" s="4" customFormat="1" ht="42" customHeight="1">
      <c r="A97" s="5">
        <v>0</v>
      </c>
      <c r="B97" s="6" t="s">
        <v>694</v>
      </c>
      <c r="C97" s="7">
        <v>1680</v>
      </c>
      <c r="D97" s="8" t="s">
        <v>695</v>
      </c>
      <c r="E97" s="8" t="s">
        <v>696</v>
      </c>
      <c r="F97" s="8" t="s">
        <v>697</v>
      </c>
      <c r="G97" s="6" t="s">
        <v>38</v>
      </c>
      <c r="H97" s="6" t="s">
        <v>39</v>
      </c>
      <c r="I97" s="8" t="s">
        <v>40</v>
      </c>
      <c r="J97" s="9">
        <v>1</v>
      </c>
      <c r="K97" s="9">
        <v>370</v>
      </c>
      <c r="L97" s="9">
        <v>2021</v>
      </c>
      <c r="M97" s="8" t="s">
        <v>698</v>
      </c>
      <c r="N97" s="8" t="s">
        <v>54</v>
      </c>
      <c r="O97" s="8" t="s">
        <v>91</v>
      </c>
      <c r="P97" s="6" t="s">
        <v>44</v>
      </c>
      <c r="Q97" s="8" t="s">
        <v>45</v>
      </c>
      <c r="R97" s="10" t="s">
        <v>197</v>
      </c>
      <c r="S97" s="11"/>
      <c r="T97" s="6"/>
      <c r="U97" s="24" t="str">
        <f>HYPERLINK("https://media.infra-m.ru/1487/1487716/cover/1487716.jpg", "Обложка")</f>
        <v>Обложка</v>
      </c>
      <c r="V97" s="24" t="str">
        <f>HYPERLINK("https://znanium.ru/catalog/product/1487716", "Ознакомиться")</f>
        <v>Ознакомиться</v>
      </c>
      <c r="W97" s="8" t="s">
        <v>699</v>
      </c>
      <c r="X97" s="6"/>
      <c r="Y97" s="6"/>
      <c r="Z97" s="6"/>
      <c r="AA97" s="6" t="s">
        <v>199</v>
      </c>
      <c r="AB97" s="8"/>
    </row>
    <row r="98" spans="1:28" s="4" customFormat="1" ht="51.95" customHeight="1">
      <c r="A98" s="5">
        <v>0</v>
      </c>
      <c r="B98" s="6" t="s">
        <v>700</v>
      </c>
      <c r="C98" s="7">
        <v>1128</v>
      </c>
      <c r="D98" s="8" t="s">
        <v>701</v>
      </c>
      <c r="E98" s="8" t="s">
        <v>702</v>
      </c>
      <c r="F98" s="8" t="s">
        <v>703</v>
      </c>
      <c r="G98" s="6" t="s">
        <v>38</v>
      </c>
      <c r="H98" s="6" t="s">
        <v>39</v>
      </c>
      <c r="I98" s="8" t="s">
        <v>40</v>
      </c>
      <c r="J98" s="9">
        <v>1</v>
      </c>
      <c r="K98" s="9">
        <v>188</v>
      </c>
      <c r="L98" s="9">
        <v>2025</v>
      </c>
      <c r="M98" s="8" t="s">
        <v>704</v>
      </c>
      <c r="N98" s="8" t="s">
        <v>54</v>
      </c>
      <c r="O98" s="8" t="s">
        <v>55</v>
      </c>
      <c r="P98" s="6" t="s">
        <v>44</v>
      </c>
      <c r="Q98" s="8" t="s">
        <v>45</v>
      </c>
      <c r="R98" s="10" t="s">
        <v>705</v>
      </c>
      <c r="S98" s="11"/>
      <c r="T98" s="6"/>
      <c r="U98" s="24" t="str">
        <f>HYPERLINK("https://media.infra-m.ru/2174/2174429/cover/2174429.jpg", "Обложка")</f>
        <v>Обложка</v>
      </c>
      <c r="V98" s="24" t="str">
        <f>HYPERLINK("https://znanium.ru/catalog/product/2174429", "Ознакомиться")</f>
        <v>Ознакомиться</v>
      </c>
      <c r="W98" s="8" t="s">
        <v>535</v>
      </c>
      <c r="X98" s="6"/>
      <c r="Y98" s="6"/>
      <c r="Z98" s="6"/>
      <c r="AA98" s="6" t="s">
        <v>277</v>
      </c>
      <c r="AB98" s="8"/>
    </row>
    <row r="99" spans="1:28" s="4" customFormat="1" ht="42" customHeight="1">
      <c r="A99" s="5">
        <v>0</v>
      </c>
      <c r="B99" s="6" t="s">
        <v>706</v>
      </c>
      <c r="C99" s="7">
        <v>2520</v>
      </c>
      <c r="D99" s="8" t="s">
        <v>707</v>
      </c>
      <c r="E99" s="8" t="s">
        <v>708</v>
      </c>
      <c r="F99" s="8" t="s">
        <v>709</v>
      </c>
      <c r="G99" s="6" t="s">
        <v>132</v>
      </c>
      <c r="H99" s="6" t="s">
        <v>39</v>
      </c>
      <c r="I99" s="8" t="s">
        <v>40</v>
      </c>
      <c r="J99" s="9">
        <v>1</v>
      </c>
      <c r="K99" s="9">
        <v>419</v>
      </c>
      <c r="L99" s="9">
        <v>2025</v>
      </c>
      <c r="M99" s="8" t="s">
        <v>710</v>
      </c>
      <c r="N99" s="8" t="s">
        <v>42</v>
      </c>
      <c r="O99" s="8" t="s">
        <v>65</v>
      </c>
      <c r="P99" s="6" t="s">
        <v>44</v>
      </c>
      <c r="Q99" s="8" t="s">
        <v>45</v>
      </c>
      <c r="R99" s="10" t="s">
        <v>711</v>
      </c>
      <c r="S99" s="11"/>
      <c r="T99" s="6"/>
      <c r="U99" s="24" t="str">
        <f>HYPERLINK("https://media.infra-m.ru/2164/2164017/cover/2164017.jpg", "Обложка")</f>
        <v>Обложка</v>
      </c>
      <c r="V99" s="24" t="str">
        <f>HYPERLINK("https://znanium.ru/catalog/product/2164017", "Ознакомиться")</f>
        <v>Ознакомиться</v>
      </c>
      <c r="W99" s="8" t="s">
        <v>565</v>
      </c>
      <c r="X99" s="6"/>
      <c r="Y99" s="6"/>
      <c r="Z99" s="6"/>
      <c r="AA99" s="6" t="s">
        <v>68</v>
      </c>
      <c r="AB99" s="8"/>
    </row>
    <row r="100" spans="1:28" s="4" customFormat="1" ht="42" customHeight="1">
      <c r="A100" s="5">
        <v>0</v>
      </c>
      <c r="B100" s="6" t="s">
        <v>712</v>
      </c>
      <c r="C100" s="13">
        <v>880.8</v>
      </c>
      <c r="D100" s="8" t="s">
        <v>713</v>
      </c>
      <c r="E100" s="8" t="s">
        <v>714</v>
      </c>
      <c r="F100" s="8" t="s">
        <v>715</v>
      </c>
      <c r="G100" s="6" t="s">
        <v>38</v>
      </c>
      <c r="H100" s="6" t="s">
        <v>39</v>
      </c>
      <c r="I100" s="8" t="s">
        <v>40</v>
      </c>
      <c r="J100" s="9">
        <v>1</v>
      </c>
      <c r="K100" s="9">
        <v>148</v>
      </c>
      <c r="L100" s="9">
        <v>2025</v>
      </c>
      <c r="M100" s="8" t="s">
        <v>716</v>
      </c>
      <c r="N100" s="8" t="s">
        <v>284</v>
      </c>
      <c r="O100" s="8" t="s">
        <v>717</v>
      </c>
      <c r="P100" s="6" t="s">
        <v>44</v>
      </c>
      <c r="Q100" s="8" t="s">
        <v>45</v>
      </c>
      <c r="R100" s="10" t="s">
        <v>718</v>
      </c>
      <c r="S100" s="11"/>
      <c r="T100" s="6"/>
      <c r="U100" s="24" t="str">
        <f>HYPERLINK("https://media.infra-m.ru/2170/2170646/cover/2170646.jpg", "Обложка")</f>
        <v>Обложка</v>
      </c>
      <c r="V100" s="24" t="str">
        <f>HYPERLINK("https://znanium.ru/catalog/product/2037424", "Ознакомиться")</f>
        <v>Ознакомиться</v>
      </c>
      <c r="W100" s="8"/>
      <c r="X100" s="6"/>
      <c r="Y100" s="6"/>
      <c r="Z100" s="6"/>
      <c r="AA100" s="6" t="s">
        <v>68</v>
      </c>
      <c r="AB100" s="8"/>
    </row>
    <row r="101" spans="1:28" s="4" customFormat="1" ht="51.95" customHeight="1">
      <c r="A101" s="5">
        <v>0</v>
      </c>
      <c r="B101" s="6" t="s">
        <v>719</v>
      </c>
      <c r="C101" s="7">
        <v>1020</v>
      </c>
      <c r="D101" s="8" t="s">
        <v>720</v>
      </c>
      <c r="E101" s="8" t="s">
        <v>721</v>
      </c>
      <c r="F101" s="8" t="s">
        <v>722</v>
      </c>
      <c r="G101" s="6" t="s">
        <v>132</v>
      </c>
      <c r="H101" s="6" t="s">
        <v>39</v>
      </c>
      <c r="I101" s="8" t="s">
        <v>40</v>
      </c>
      <c r="J101" s="9">
        <v>1</v>
      </c>
      <c r="K101" s="9">
        <v>187</v>
      </c>
      <c r="L101" s="9">
        <v>2023</v>
      </c>
      <c r="M101" s="8" t="s">
        <v>723</v>
      </c>
      <c r="N101" s="8" t="s">
        <v>42</v>
      </c>
      <c r="O101" s="8" t="s">
        <v>101</v>
      </c>
      <c r="P101" s="6" t="s">
        <v>44</v>
      </c>
      <c r="Q101" s="8" t="s">
        <v>45</v>
      </c>
      <c r="R101" s="10" t="s">
        <v>608</v>
      </c>
      <c r="S101" s="11"/>
      <c r="T101" s="6"/>
      <c r="U101" s="24" t="str">
        <f>HYPERLINK("https://media.infra-m.ru/1903/1903335/cover/1903335.jpg", "Обложка")</f>
        <v>Обложка</v>
      </c>
      <c r="V101" s="24" t="str">
        <f>HYPERLINK("https://znanium.ru/catalog/product/1903335", "Ознакомиться")</f>
        <v>Ознакомиться</v>
      </c>
      <c r="W101" s="8" t="s">
        <v>724</v>
      </c>
      <c r="X101" s="6"/>
      <c r="Y101" s="6"/>
      <c r="Z101" s="6"/>
      <c r="AA101" s="6" t="s">
        <v>725</v>
      </c>
      <c r="AB101" s="8"/>
    </row>
    <row r="102" spans="1:28" s="4" customFormat="1" ht="51.95" customHeight="1">
      <c r="A102" s="5">
        <v>0</v>
      </c>
      <c r="B102" s="6" t="s">
        <v>726</v>
      </c>
      <c r="C102" s="13">
        <v>816</v>
      </c>
      <c r="D102" s="8" t="s">
        <v>727</v>
      </c>
      <c r="E102" s="8" t="s">
        <v>728</v>
      </c>
      <c r="F102" s="8" t="s">
        <v>729</v>
      </c>
      <c r="G102" s="6" t="s">
        <v>38</v>
      </c>
      <c r="H102" s="6" t="s">
        <v>39</v>
      </c>
      <c r="I102" s="8" t="s">
        <v>40</v>
      </c>
      <c r="J102" s="9">
        <v>1</v>
      </c>
      <c r="K102" s="9">
        <v>175</v>
      </c>
      <c r="L102" s="9">
        <v>2022</v>
      </c>
      <c r="M102" s="8" t="s">
        <v>730</v>
      </c>
      <c r="N102" s="8" t="s">
        <v>42</v>
      </c>
      <c r="O102" s="8" t="s">
        <v>189</v>
      </c>
      <c r="P102" s="6" t="s">
        <v>44</v>
      </c>
      <c r="Q102" s="8" t="s">
        <v>45</v>
      </c>
      <c r="R102" s="10" t="s">
        <v>731</v>
      </c>
      <c r="S102" s="11"/>
      <c r="T102" s="6"/>
      <c r="U102" s="24" t="str">
        <f>HYPERLINK("https://media.infra-m.ru/1854/1854743/cover/1854743.jpg", "Обложка")</f>
        <v>Обложка</v>
      </c>
      <c r="V102" s="24" t="str">
        <f>HYPERLINK("https://znanium.ru/catalog/product/1854743", "Ознакомиться")</f>
        <v>Ознакомиться</v>
      </c>
      <c r="W102" s="8" t="s">
        <v>732</v>
      </c>
      <c r="X102" s="6"/>
      <c r="Y102" s="6"/>
      <c r="Z102" s="6"/>
      <c r="AA102" s="6" t="s">
        <v>377</v>
      </c>
      <c r="AB102" s="8"/>
    </row>
    <row r="103" spans="1:28" s="4" customFormat="1" ht="44.1" customHeight="1">
      <c r="A103" s="5">
        <v>0</v>
      </c>
      <c r="B103" s="6" t="s">
        <v>733</v>
      </c>
      <c r="C103" s="13">
        <v>756</v>
      </c>
      <c r="D103" s="8" t="s">
        <v>734</v>
      </c>
      <c r="E103" s="8" t="s">
        <v>735</v>
      </c>
      <c r="F103" s="8" t="s">
        <v>736</v>
      </c>
      <c r="G103" s="6" t="s">
        <v>38</v>
      </c>
      <c r="H103" s="6" t="s">
        <v>39</v>
      </c>
      <c r="I103" s="8" t="s">
        <v>40</v>
      </c>
      <c r="J103" s="9">
        <v>1</v>
      </c>
      <c r="K103" s="9">
        <v>140</v>
      </c>
      <c r="L103" s="9">
        <v>2023</v>
      </c>
      <c r="M103" s="8" t="s">
        <v>737</v>
      </c>
      <c r="N103" s="8" t="s">
        <v>738</v>
      </c>
      <c r="O103" s="8" t="s">
        <v>739</v>
      </c>
      <c r="P103" s="6" t="s">
        <v>44</v>
      </c>
      <c r="Q103" s="8" t="s">
        <v>45</v>
      </c>
      <c r="R103" s="10" t="s">
        <v>740</v>
      </c>
      <c r="S103" s="11"/>
      <c r="T103" s="6"/>
      <c r="U103" s="24" t="str">
        <f>HYPERLINK("https://media.infra-m.ru/1859/1859802/cover/1859802.jpg", "Обложка")</f>
        <v>Обложка</v>
      </c>
      <c r="V103" s="24" t="str">
        <f>HYPERLINK("https://znanium.ru/catalog/product/1859802", "Ознакомиться")</f>
        <v>Ознакомиться</v>
      </c>
      <c r="W103" s="8" t="s">
        <v>207</v>
      </c>
      <c r="X103" s="6"/>
      <c r="Y103" s="6"/>
      <c r="Z103" s="6"/>
      <c r="AA103" s="6" t="s">
        <v>339</v>
      </c>
      <c r="AB103" s="8"/>
    </row>
    <row r="104" spans="1:28" s="4" customFormat="1" ht="42" customHeight="1">
      <c r="A104" s="5">
        <v>0</v>
      </c>
      <c r="B104" s="6" t="s">
        <v>741</v>
      </c>
      <c r="C104" s="13">
        <v>797.9</v>
      </c>
      <c r="D104" s="8" t="s">
        <v>742</v>
      </c>
      <c r="E104" s="8" t="s">
        <v>743</v>
      </c>
      <c r="F104" s="8" t="s">
        <v>744</v>
      </c>
      <c r="G104" s="6" t="s">
        <v>38</v>
      </c>
      <c r="H104" s="6" t="s">
        <v>39</v>
      </c>
      <c r="I104" s="8" t="s">
        <v>745</v>
      </c>
      <c r="J104" s="9">
        <v>1</v>
      </c>
      <c r="K104" s="9">
        <v>147</v>
      </c>
      <c r="L104" s="9">
        <v>2023</v>
      </c>
      <c r="M104" s="8" t="s">
        <v>746</v>
      </c>
      <c r="N104" s="8" t="s">
        <v>284</v>
      </c>
      <c r="O104" s="8" t="s">
        <v>717</v>
      </c>
      <c r="P104" s="6" t="s">
        <v>44</v>
      </c>
      <c r="Q104" s="8" t="s">
        <v>45</v>
      </c>
      <c r="R104" s="10" t="s">
        <v>718</v>
      </c>
      <c r="S104" s="11"/>
      <c r="T104" s="6"/>
      <c r="U104" s="24" t="str">
        <f>HYPERLINK("https://media.infra-m.ru/1964/1964966/cover/1964966.jpg", "Обложка")</f>
        <v>Обложка</v>
      </c>
      <c r="V104" s="24" t="str">
        <f>HYPERLINK("https://znanium.ru/catalog/product/1005505", "Ознакомиться")</f>
        <v>Ознакомиться</v>
      </c>
      <c r="W104" s="8" t="s">
        <v>747</v>
      </c>
      <c r="X104" s="6"/>
      <c r="Y104" s="6"/>
      <c r="Z104" s="6"/>
      <c r="AA104" s="6" t="s">
        <v>76</v>
      </c>
      <c r="AB104" s="8"/>
    </row>
    <row r="105" spans="1:28" s="4" customFormat="1" ht="51.95" customHeight="1">
      <c r="A105" s="5">
        <v>0</v>
      </c>
      <c r="B105" s="6" t="s">
        <v>748</v>
      </c>
      <c r="C105" s="13">
        <v>948</v>
      </c>
      <c r="D105" s="8" t="s">
        <v>749</v>
      </c>
      <c r="E105" s="8" t="s">
        <v>750</v>
      </c>
      <c r="F105" s="8" t="s">
        <v>751</v>
      </c>
      <c r="G105" s="6" t="s">
        <v>38</v>
      </c>
      <c r="H105" s="6" t="s">
        <v>39</v>
      </c>
      <c r="I105" s="8" t="s">
        <v>752</v>
      </c>
      <c r="J105" s="9">
        <v>1</v>
      </c>
      <c r="K105" s="9">
        <v>167</v>
      </c>
      <c r="L105" s="9">
        <v>2023</v>
      </c>
      <c r="M105" s="8" t="s">
        <v>753</v>
      </c>
      <c r="N105" s="8" t="s">
        <v>42</v>
      </c>
      <c r="O105" s="8" t="s">
        <v>101</v>
      </c>
      <c r="P105" s="6" t="s">
        <v>44</v>
      </c>
      <c r="Q105" s="8" t="s">
        <v>45</v>
      </c>
      <c r="R105" s="10" t="s">
        <v>390</v>
      </c>
      <c r="S105" s="11"/>
      <c r="T105" s="6"/>
      <c r="U105" s="24" t="str">
        <f>HYPERLINK("https://media.infra-m.ru/1913/1913533/cover/1913533.jpg", "Обложка")</f>
        <v>Обложка</v>
      </c>
      <c r="V105" s="24" t="str">
        <f>HYPERLINK("https://znanium.ru/catalog/product/1913533", "Ознакомиться")</f>
        <v>Ознакомиться</v>
      </c>
      <c r="W105" s="8" t="s">
        <v>754</v>
      </c>
      <c r="X105" s="6"/>
      <c r="Y105" s="6"/>
      <c r="Z105" s="6"/>
      <c r="AA105" s="6" t="s">
        <v>119</v>
      </c>
      <c r="AB105" s="8"/>
    </row>
    <row r="106" spans="1:28" s="4" customFormat="1" ht="42" customHeight="1">
      <c r="A106" s="5">
        <v>0</v>
      </c>
      <c r="B106" s="6" t="s">
        <v>755</v>
      </c>
      <c r="C106" s="7">
        <v>2272.8000000000002</v>
      </c>
      <c r="D106" s="8" t="s">
        <v>756</v>
      </c>
      <c r="E106" s="8" t="s">
        <v>757</v>
      </c>
      <c r="F106" s="8" t="s">
        <v>758</v>
      </c>
      <c r="G106" s="6" t="s">
        <v>81</v>
      </c>
      <c r="H106" s="6" t="s">
        <v>39</v>
      </c>
      <c r="I106" s="8" t="s">
        <v>40</v>
      </c>
      <c r="J106" s="9">
        <v>1</v>
      </c>
      <c r="K106" s="9">
        <v>365</v>
      </c>
      <c r="L106" s="9">
        <v>2026</v>
      </c>
      <c r="M106" s="8" t="s">
        <v>759</v>
      </c>
      <c r="N106" s="8" t="s">
        <v>42</v>
      </c>
      <c r="O106" s="8" t="s">
        <v>101</v>
      </c>
      <c r="P106" s="6" t="s">
        <v>44</v>
      </c>
      <c r="Q106" s="8" t="s">
        <v>45</v>
      </c>
      <c r="R106" s="10" t="s">
        <v>269</v>
      </c>
      <c r="S106" s="11"/>
      <c r="T106" s="6"/>
      <c r="U106" s="24" t="str">
        <f>HYPERLINK("https://media.infra-m.ru/2216/2216600/cover/2216600.jpg", "Обложка")</f>
        <v>Обложка</v>
      </c>
      <c r="V106" s="24" t="str">
        <f>HYPERLINK("https://znanium.ru/catalog/product/2105794", "Ознакомиться")</f>
        <v>Ознакомиться</v>
      </c>
      <c r="W106" s="8"/>
      <c r="X106" s="6"/>
      <c r="Y106" s="6"/>
      <c r="Z106" s="6"/>
      <c r="AA106" s="6" t="s">
        <v>199</v>
      </c>
      <c r="AB106" s="8"/>
    </row>
    <row r="107" spans="1:28" s="4" customFormat="1" ht="51.95" customHeight="1">
      <c r="A107" s="5">
        <v>0</v>
      </c>
      <c r="B107" s="6" t="s">
        <v>760</v>
      </c>
      <c r="C107" s="7">
        <v>1188</v>
      </c>
      <c r="D107" s="8" t="s">
        <v>761</v>
      </c>
      <c r="E107" s="8" t="s">
        <v>762</v>
      </c>
      <c r="F107" s="8" t="s">
        <v>763</v>
      </c>
      <c r="G107" s="6" t="s">
        <v>38</v>
      </c>
      <c r="H107" s="6" t="s">
        <v>39</v>
      </c>
      <c r="I107" s="8" t="s">
        <v>164</v>
      </c>
      <c r="J107" s="9">
        <v>1</v>
      </c>
      <c r="K107" s="9">
        <v>198</v>
      </c>
      <c r="L107" s="9">
        <v>2024</v>
      </c>
      <c r="M107" s="8" t="s">
        <v>764</v>
      </c>
      <c r="N107" s="8" t="s">
        <v>284</v>
      </c>
      <c r="O107" s="8" t="s">
        <v>383</v>
      </c>
      <c r="P107" s="6" t="s">
        <v>44</v>
      </c>
      <c r="Q107" s="8" t="s">
        <v>45</v>
      </c>
      <c r="R107" s="10" t="s">
        <v>765</v>
      </c>
      <c r="S107" s="11"/>
      <c r="T107" s="6"/>
      <c r="U107" s="24" t="str">
        <f>HYPERLINK("https://media.infra-m.ru/2049/2049718/cover/2049718.jpg", "Обложка")</f>
        <v>Обложка</v>
      </c>
      <c r="V107" s="24" t="str">
        <f>HYPERLINK("https://znanium.ru/catalog/product/2049718", "Ознакомиться")</f>
        <v>Ознакомиться</v>
      </c>
      <c r="W107" s="8" t="s">
        <v>167</v>
      </c>
      <c r="X107" s="6"/>
      <c r="Y107" s="6"/>
      <c r="Z107" s="6"/>
      <c r="AA107" s="6" t="s">
        <v>58</v>
      </c>
      <c r="AB107" s="8" t="s">
        <v>766</v>
      </c>
    </row>
    <row r="108" spans="1:28" s="4" customFormat="1" ht="44.1" customHeight="1">
      <c r="A108" s="5">
        <v>0</v>
      </c>
      <c r="B108" s="6" t="s">
        <v>767</v>
      </c>
      <c r="C108" s="7">
        <v>1476</v>
      </c>
      <c r="D108" s="8" t="s">
        <v>768</v>
      </c>
      <c r="E108" s="8" t="s">
        <v>769</v>
      </c>
      <c r="F108" s="8" t="s">
        <v>770</v>
      </c>
      <c r="G108" s="6" t="s">
        <v>38</v>
      </c>
      <c r="H108" s="6" t="s">
        <v>39</v>
      </c>
      <c r="I108" s="8" t="s">
        <v>40</v>
      </c>
      <c r="J108" s="9">
        <v>1</v>
      </c>
      <c r="K108" s="9">
        <v>378</v>
      </c>
      <c r="L108" s="9">
        <v>2019</v>
      </c>
      <c r="M108" s="8" t="s">
        <v>771</v>
      </c>
      <c r="N108" s="8" t="s">
        <v>42</v>
      </c>
      <c r="O108" s="8" t="s">
        <v>65</v>
      </c>
      <c r="P108" s="6" t="s">
        <v>44</v>
      </c>
      <c r="Q108" s="8" t="s">
        <v>45</v>
      </c>
      <c r="R108" s="10" t="s">
        <v>772</v>
      </c>
      <c r="S108" s="11"/>
      <c r="T108" s="6"/>
      <c r="U108" s="24" t="str">
        <f>HYPERLINK("https://media.infra-m.ru/1009/1009386/cover/1009386.jpg", "Обложка")</f>
        <v>Обложка</v>
      </c>
      <c r="V108" s="24" t="str">
        <f>HYPERLINK("https://znanium.ru/catalog/product/1009386", "Ознакомиться")</f>
        <v>Ознакомиться</v>
      </c>
      <c r="W108" s="8" t="s">
        <v>773</v>
      </c>
      <c r="X108" s="6"/>
      <c r="Y108" s="6"/>
      <c r="Z108" s="6"/>
      <c r="AA108" s="6" t="s">
        <v>377</v>
      </c>
      <c r="AB108" s="8"/>
    </row>
    <row r="109" spans="1:28" s="4" customFormat="1" ht="51.95" customHeight="1">
      <c r="A109" s="5">
        <v>0</v>
      </c>
      <c r="B109" s="6" t="s">
        <v>774</v>
      </c>
      <c r="C109" s="7">
        <v>1912.8</v>
      </c>
      <c r="D109" s="8" t="s">
        <v>775</v>
      </c>
      <c r="E109" s="8" t="s">
        <v>776</v>
      </c>
      <c r="F109" s="8" t="s">
        <v>777</v>
      </c>
      <c r="G109" s="6" t="s">
        <v>81</v>
      </c>
      <c r="H109" s="6" t="s">
        <v>39</v>
      </c>
      <c r="I109" s="8" t="s">
        <v>40</v>
      </c>
      <c r="J109" s="9">
        <v>1</v>
      </c>
      <c r="K109" s="9">
        <v>291</v>
      </c>
      <c r="L109" s="9">
        <v>2026</v>
      </c>
      <c r="M109" s="8" t="s">
        <v>778</v>
      </c>
      <c r="N109" s="8" t="s">
        <v>42</v>
      </c>
      <c r="O109" s="8" t="s">
        <v>189</v>
      </c>
      <c r="P109" s="6" t="s">
        <v>44</v>
      </c>
      <c r="Q109" s="8" t="s">
        <v>45</v>
      </c>
      <c r="R109" s="10" t="s">
        <v>779</v>
      </c>
      <c r="S109" s="11"/>
      <c r="T109" s="6"/>
      <c r="U109" s="24" t="str">
        <f>HYPERLINK("https://media.infra-m.ru/2215/2215293/cover/2215293.jpg", "Обложка")</f>
        <v>Обложка</v>
      </c>
      <c r="V109" s="24" t="str">
        <f>HYPERLINK("https://znanium.ru/catalog/product/2184892", "Ознакомиться")</f>
        <v>Ознакомиться</v>
      </c>
      <c r="W109" s="8" t="s">
        <v>191</v>
      </c>
      <c r="X109" s="6"/>
      <c r="Y109" s="6"/>
      <c r="Z109" s="6"/>
      <c r="AA109" s="6" t="s">
        <v>536</v>
      </c>
      <c r="AB109" s="8"/>
    </row>
    <row r="110" spans="1:28" s="4" customFormat="1" ht="51.95" customHeight="1">
      <c r="A110" s="5">
        <v>0</v>
      </c>
      <c r="B110" s="6" t="s">
        <v>780</v>
      </c>
      <c r="C110" s="7">
        <v>1332</v>
      </c>
      <c r="D110" s="8" t="s">
        <v>781</v>
      </c>
      <c r="E110" s="8" t="s">
        <v>782</v>
      </c>
      <c r="F110" s="8" t="s">
        <v>783</v>
      </c>
      <c r="G110" s="6" t="s">
        <v>132</v>
      </c>
      <c r="H110" s="6" t="s">
        <v>39</v>
      </c>
      <c r="I110" s="8" t="s">
        <v>40</v>
      </c>
      <c r="J110" s="9">
        <v>1</v>
      </c>
      <c r="K110" s="9">
        <v>217</v>
      </c>
      <c r="L110" s="9">
        <v>2024</v>
      </c>
      <c r="M110" s="8" t="s">
        <v>784</v>
      </c>
      <c r="N110" s="8" t="s">
        <v>42</v>
      </c>
      <c r="O110" s="8" t="s">
        <v>189</v>
      </c>
      <c r="P110" s="6" t="s">
        <v>44</v>
      </c>
      <c r="Q110" s="8" t="s">
        <v>45</v>
      </c>
      <c r="R110" s="10" t="s">
        <v>785</v>
      </c>
      <c r="S110" s="11"/>
      <c r="T110" s="6"/>
      <c r="U110" s="24" t="str">
        <f>HYPERLINK("https://media.infra-m.ru/2076/2076797/cover/2076797.jpg", "Обложка")</f>
        <v>Обложка</v>
      </c>
      <c r="V110" s="24" t="str">
        <f>HYPERLINK("https://znanium.ru/catalog/product/2076797", "Ознакомиться")</f>
        <v>Ознакомиться</v>
      </c>
      <c r="W110" s="8" t="s">
        <v>207</v>
      </c>
      <c r="X110" s="6"/>
      <c r="Y110" s="6"/>
      <c r="Z110" s="6"/>
      <c r="AA110" s="6" t="s">
        <v>58</v>
      </c>
      <c r="AB110" s="8"/>
    </row>
    <row r="111" spans="1:28" s="4" customFormat="1" ht="51.95" customHeight="1">
      <c r="A111" s="5">
        <v>0</v>
      </c>
      <c r="B111" s="6" t="s">
        <v>786</v>
      </c>
      <c r="C111" s="13">
        <v>852</v>
      </c>
      <c r="D111" s="8" t="s">
        <v>787</v>
      </c>
      <c r="E111" s="8" t="s">
        <v>788</v>
      </c>
      <c r="F111" s="8" t="s">
        <v>789</v>
      </c>
      <c r="G111" s="6" t="s">
        <v>38</v>
      </c>
      <c r="H111" s="6" t="s">
        <v>39</v>
      </c>
      <c r="I111" s="8" t="s">
        <v>40</v>
      </c>
      <c r="J111" s="9">
        <v>1</v>
      </c>
      <c r="K111" s="9">
        <v>210</v>
      </c>
      <c r="L111" s="9">
        <v>2019</v>
      </c>
      <c r="M111" s="8" t="s">
        <v>790</v>
      </c>
      <c r="N111" s="8" t="s">
        <v>54</v>
      </c>
      <c r="O111" s="8" t="s">
        <v>91</v>
      </c>
      <c r="P111" s="6" t="s">
        <v>44</v>
      </c>
      <c r="Q111" s="8" t="s">
        <v>45</v>
      </c>
      <c r="R111" s="10" t="s">
        <v>92</v>
      </c>
      <c r="S111" s="11"/>
      <c r="T111" s="6"/>
      <c r="U111" s="24" t="str">
        <f>HYPERLINK("https://media.infra-m.ru/0989/0989370/cover/989370.jpg", "Обложка")</f>
        <v>Обложка</v>
      </c>
      <c r="V111" s="24" t="str">
        <f>HYPERLINK("https://znanium.ru/catalog/product/989370", "Ознакомиться")</f>
        <v>Ознакомиться</v>
      </c>
      <c r="W111" s="8" t="s">
        <v>791</v>
      </c>
      <c r="X111" s="6"/>
      <c r="Y111" s="6"/>
      <c r="Z111" s="6"/>
      <c r="AA111" s="6" t="s">
        <v>290</v>
      </c>
      <c r="AB111" s="8"/>
    </row>
    <row r="112" spans="1:28" s="4" customFormat="1" ht="51.95" customHeight="1">
      <c r="A112" s="5">
        <v>0</v>
      </c>
      <c r="B112" s="6" t="s">
        <v>792</v>
      </c>
      <c r="C112" s="13">
        <v>876</v>
      </c>
      <c r="D112" s="8" t="s">
        <v>793</v>
      </c>
      <c r="E112" s="8" t="s">
        <v>794</v>
      </c>
      <c r="F112" s="8" t="s">
        <v>795</v>
      </c>
      <c r="G112" s="6" t="s">
        <v>38</v>
      </c>
      <c r="H112" s="6" t="s">
        <v>39</v>
      </c>
      <c r="I112" s="8" t="s">
        <v>40</v>
      </c>
      <c r="J112" s="9">
        <v>1</v>
      </c>
      <c r="K112" s="9">
        <v>186</v>
      </c>
      <c r="L112" s="9">
        <v>2022</v>
      </c>
      <c r="M112" s="8" t="s">
        <v>796</v>
      </c>
      <c r="N112" s="8" t="s">
        <v>42</v>
      </c>
      <c r="O112" s="8" t="s">
        <v>189</v>
      </c>
      <c r="P112" s="6" t="s">
        <v>44</v>
      </c>
      <c r="Q112" s="8" t="s">
        <v>45</v>
      </c>
      <c r="R112" s="10" t="s">
        <v>797</v>
      </c>
      <c r="S112" s="11"/>
      <c r="T112" s="6"/>
      <c r="U112" s="24" t="str">
        <f>HYPERLINK("https://media.infra-m.ru/1854/1854744/cover/1854744.jpg", "Обложка")</f>
        <v>Обложка</v>
      </c>
      <c r="V112" s="24" t="str">
        <f>HYPERLINK("https://znanium.ru/catalog/product/1854744", "Ознакомиться")</f>
        <v>Ознакомиться</v>
      </c>
      <c r="W112" s="8" t="s">
        <v>167</v>
      </c>
      <c r="X112" s="6"/>
      <c r="Y112" s="6"/>
      <c r="Z112" s="6"/>
      <c r="AA112" s="6" t="s">
        <v>127</v>
      </c>
      <c r="AB112" s="8"/>
    </row>
    <row r="113" spans="1:28" s="4" customFormat="1" ht="42" customHeight="1">
      <c r="A113" s="5">
        <v>0</v>
      </c>
      <c r="B113" s="6" t="s">
        <v>798</v>
      </c>
      <c r="C113" s="13">
        <v>828</v>
      </c>
      <c r="D113" s="8" t="s">
        <v>799</v>
      </c>
      <c r="E113" s="8" t="s">
        <v>800</v>
      </c>
      <c r="F113" s="8" t="s">
        <v>801</v>
      </c>
      <c r="G113" s="6" t="s">
        <v>38</v>
      </c>
      <c r="H113" s="6" t="s">
        <v>182</v>
      </c>
      <c r="I113" s="8" t="s">
        <v>40</v>
      </c>
      <c r="J113" s="9">
        <v>1</v>
      </c>
      <c r="K113" s="9">
        <v>138</v>
      </c>
      <c r="L113" s="9">
        <v>2025</v>
      </c>
      <c r="M113" s="8" t="s">
        <v>802</v>
      </c>
      <c r="N113" s="8" t="s">
        <v>42</v>
      </c>
      <c r="O113" s="8" t="s">
        <v>101</v>
      </c>
      <c r="P113" s="6" t="s">
        <v>44</v>
      </c>
      <c r="Q113" s="8" t="s">
        <v>45</v>
      </c>
      <c r="R113" s="10" t="s">
        <v>564</v>
      </c>
      <c r="S113" s="11"/>
      <c r="T113" s="6"/>
      <c r="U113" s="24" t="str">
        <f>HYPERLINK("https://media.infra-m.ru/2158/2158376/cover/2158376.jpg", "Обложка")</f>
        <v>Обложка</v>
      </c>
      <c r="V113" s="24" t="str">
        <f>HYPERLINK("https://znanium.ru/catalog/product/2158376", "Ознакомиться")</f>
        <v>Ознакомиться</v>
      </c>
      <c r="W113" s="8" t="s">
        <v>803</v>
      </c>
      <c r="X113" s="6"/>
      <c r="Y113" s="6"/>
      <c r="Z113" s="6"/>
      <c r="AA113" s="6" t="s">
        <v>277</v>
      </c>
      <c r="AB113" s="8"/>
    </row>
    <row r="114" spans="1:28" s="4" customFormat="1" ht="51.95" customHeight="1">
      <c r="A114" s="5">
        <v>0</v>
      </c>
      <c r="B114" s="6" t="s">
        <v>804</v>
      </c>
      <c r="C114" s="7">
        <v>1000.8</v>
      </c>
      <c r="D114" s="8" t="s">
        <v>805</v>
      </c>
      <c r="E114" s="8" t="s">
        <v>806</v>
      </c>
      <c r="F114" s="8" t="s">
        <v>807</v>
      </c>
      <c r="G114" s="6" t="s">
        <v>81</v>
      </c>
      <c r="H114" s="6" t="s">
        <v>39</v>
      </c>
      <c r="I114" s="8" t="s">
        <v>40</v>
      </c>
      <c r="J114" s="9">
        <v>1</v>
      </c>
      <c r="K114" s="9">
        <v>176</v>
      </c>
      <c r="L114" s="9">
        <v>2024</v>
      </c>
      <c r="M114" s="8" t="s">
        <v>808</v>
      </c>
      <c r="N114" s="8" t="s">
        <v>54</v>
      </c>
      <c r="O114" s="8" t="s">
        <v>55</v>
      </c>
      <c r="P114" s="6" t="s">
        <v>44</v>
      </c>
      <c r="Q114" s="8" t="s">
        <v>45</v>
      </c>
      <c r="R114" s="10" t="s">
        <v>809</v>
      </c>
      <c r="S114" s="11"/>
      <c r="T114" s="6"/>
      <c r="U114" s="24" t="str">
        <f>HYPERLINK("https://media.infra-m.ru/2110/2110066/cover/2110066.jpg", "Обложка")</f>
        <v>Обложка</v>
      </c>
      <c r="V114" s="24" t="str">
        <f>HYPERLINK("https://znanium.ru/catalog/product/1541978", "Ознакомиться")</f>
        <v>Ознакомиться</v>
      </c>
      <c r="W114" s="8" t="s">
        <v>810</v>
      </c>
      <c r="X114" s="6"/>
      <c r="Y114" s="6"/>
      <c r="Z114" s="6"/>
      <c r="AA114" s="6" t="s">
        <v>68</v>
      </c>
      <c r="AB114" s="8"/>
    </row>
    <row r="115" spans="1:28" s="4" customFormat="1" ht="51.95" customHeight="1">
      <c r="A115" s="5">
        <v>0</v>
      </c>
      <c r="B115" s="6" t="s">
        <v>811</v>
      </c>
      <c r="C115" s="13">
        <v>748.8</v>
      </c>
      <c r="D115" s="8" t="s">
        <v>812</v>
      </c>
      <c r="E115" s="8" t="s">
        <v>813</v>
      </c>
      <c r="F115" s="8" t="s">
        <v>814</v>
      </c>
      <c r="G115" s="6" t="s">
        <v>38</v>
      </c>
      <c r="H115" s="6" t="s">
        <v>39</v>
      </c>
      <c r="I115" s="8" t="s">
        <v>40</v>
      </c>
      <c r="J115" s="9">
        <v>1</v>
      </c>
      <c r="K115" s="9">
        <v>120</v>
      </c>
      <c r="L115" s="9">
        <v>2026</v>
      </c>
      <c r="M115" s="8" t="s">
        <v>815</v>
      </c>
      <c r="N115" s="8" t="s">
        <v>54</v>
      </c>
      <c r="O115" s="8" t="s">
        <v>55</v>
      </c>
      <c r="P115" s="6" t="s">
        <v>44</v>
      </c>
      <c r="Q115" s="8" t="s">
        <v>45</v>
      </c>
      <c r="R115" s="10" t="s">
        <v>816</v>
      </c>
      <c r="S115" s="11"/>
      <c r="T115" s="6"/>
      <c r="U115" s="24" t="str">
        <f>HYPERLINK("https://media.infra-m.ru/2213/2213708/cover/2213708.jpg", "Обложка")</f>
        <v>Обложка</v>
      </c>
      <c r="V115" s="24" t="str">
        <f>HYPERLINK("https://znanium.ru/catalog/product/2079614", "Ознакомиться")</f>
        <v>Ознакомиться</v>
      </c>
      <c r="W115" s="8" t="s">
        <v>817</v>
      </c>
      <c r="X115" s="6"/>
      <c r="Y115" s="6"/>
      <c r="Z115" s="6"/>
      <c r="AA115" s="6" t="s">
        <v>290</v>
      </c>
      <c r="AB115" s="8"/>
    </row>
    <row r="116" spans="1:28" s="4" customFormat="1" ht="42" customHeight="1">
      <c r="A116" s="5">
        <v>0</v>
      </c>
      <c r="B116" s="6" t="s">
        <v>818</v>
      </c>
      <c r="C116" s="13">
        <v>588</v>
      </c>
      <c r="D116" s="8" t="s">
        <v>819</v>
      </c>
      <c r="E116" s="8" t="s">
        <v>820</v>
      </c>
      <c r="F116" s="8" t="s">
        <v>821</v>
      </c>
      <c r="G116" s="6" t="s">
        <v>38</v>
      </c>
      <c r="H116" s="6" t="s">
        <v>39</v>
      </c>
      <c r="I116" s="8" t="s">
        <v>40</v>
      </c>
      <c r="J116" s="9">
        <v>1</v>
      </c>
      <c r="K116" s="9">
        <v>106</v>
      </c>
      <c r="L116" s="9">
        <v>2024</v>
      </c>
      <c r="M116" s="8" t="s">
        <v>822</v>
      </c>
      <c r="N116" s="8" t="s">
        <v>54</v>
      </c>
      <c r="O116" s="8" t="s">
        <v>55</v>
      </c>
      <c r="P116" s="6" t="s">
        <v>44</v>
      </c>
      <c r="Q116" s="8" t="s">
        <v>45</v>
      </c>
      <c r="R116" s="10" t="s">
        <v>823</v>
      </c>
      <c r="S116" s="11"/>
      <c r="T116" s="6"/>
      <c r="U116" s="24" t="str">
        <f>HYPERLINK("https://media.infra-m.ru/2093/2093942/cover/2093942.jpg", "Обложка")</f>
        <v>Обложка</v>
      </c>
      <c r="V116" s="24" t="str">
        <f>HYPERLINK("https://znanium.ru/catalog/product/2093942", "Ознакомиться")</f>
        <v>Ознакомиться</v>
      </c>
      <c r="W116" s="8" t="s">
        <v>817</v>
      </c>
      <c r="X116" s="6"/>
      <c r="Y116" s="6"/>
      <c r="Z116" s="6"/>
      <c r="AA116" s="6" t="s">
        <v>290</v>
      </c>
      <c r="AB116" s="8"/>
    </row>
    <row r="117" spans="1:28" s="4" customFormat="1" ht="51.95" customHeight="1">
      <c r="A117" s="5">
        <v>0</v>
      </c>
      <c r="B117" s="6" t="s">
        <v>824</v>
      </c>
      <c r="C117" s="7">
        <v>5388</v>
      </c>
      <c r="D117" s="8" t="s">
        <v>825</v>
      </c>
      <c r="E117" s="8" t="s">
        <v>826</v>
      </c>
      <c r="F117" s="8" t="s">
        <v>827</v>
      </c>
      <c r="G117" s="6" t="s">
        <v>132</v>
      </c>
      <c r="H117" s="6" t="s">
        <v>39</v>
      </c>
      <c r="I117" s="8" t="s">
        <v>828</v>
      </c>
      <c r="J117" s="9">
        <v>1</v>
      </c>
      <c r="K117" s="9">
        <v>1180</v>
      </c>
      <c r="L117" s="9">
        <v>2026</v>
      </c>
      <c r="M117" s="8" t="s">
        <v>829</v>
      </c>
      <c r="N117" s="8" t="s">
        <v>54</v>
      </c>
      <c r="O117" s="8" t="s">
        <v>55</v>
      </c>
      <c r="P117" s="6" t="s">
        <v>659</v>
      </c>
      <c r="Q117" s="8" t="s">
        <v>45</v>
      </c>
      <c r="R117" s="10" t="s">
        <v>830</v>
      </c>
      <c r="S117" s="11"/>
      <c r="T117" s="6"/>
      <c r="U117" s="24" t="str">
        <f>HYPERLINK("https://media.infra-m.ru/2211/2211641/cover/2211641.jpg", "Обложка")</f>
        <v>Обложка</v>
      </c>
      <c r="V117" s="24" t="str">
        <f>HYPERLINK("https://znanium.ru/catalog/product/2211641", "Ознакомиться")</f>
        <v>Ознакомиться</v>
      </c>
      <c r="W117" s="8" t="s">
        <v>831</v>
      </c>
      <c r="X117" s="6" t="s">
        <v>832</v>
      </c>
      <c r="Y117" s="6"/>
      <c r="Z117" s="6"/>
      <c r="AA117" s="6" t="s">
        <v>833</v>
      </c>
      <c r="AB117" s="8"/>
    </row>
    <row r="118" spans="1:28" s="4" customFormat="1" ht="51.95" customHeight="1">
      <c r="A118" s="5">
        <v>0</v>
      </c>
      <c r="B118" s="6" t="s">
        <v>834</v>
      </c>
      <c r="C118" s="7">
        <v>3996</v>
      </c>
      <c r="D118" s="8" t="s">
        <v>835</v>
      </c>
      <c r="E118" s="8" t="s">
        <v>836</v>
      </c>
      <c r="F118" s="8" t="s">
        <v>827</v>
      </c>
      <c r="G118" s="6" t="s">
        <v>132</v>
      </c>
      <c r="H118" s="6" t="s">
        <v>39</v>
      </c>
      <c r="I118" s="8" t="s">
        <v>828</v>
      </c>
      <c r="J118" s="9">
        <v>1</v>
      </c>
      <c r="K118" s="9">
        <v>875</v>
      </c>
      <c r="L118" s="9">
        <v>2026</v>
      </c>
      <c r="M118" s="8" t="s">
        <v>837</v>
      </c>
      <c r="N118" s="8" t="s">
        <v>54</v>
      </c>
      <c r="O118" s="8" t="s">
        <v>55</v>
      </c>
      <c r="P118" s="6" t="s">
        <v>659</v>
      </c>
      <c r="Q118" s="8" t="s">
        <v>45</v>
      </c>
      <c r="R118" s="10" t="s">
        <v>830</v>
      </c>
      <c r="S118" s="11"/>
      <c r="T118" s="6"/>
      <c r="U118" s="24" t="str">
        <f>HYPERLINK("https://media.infra-m.ru/2211/2211642/cover/2211642.jpg", "Обложка")</f>
        <v>Обложка</v>
      </c>
      <c r="V118" s="24" t="str">
        <f>HYPERLINK("https://znanium.ru/catalog/product/2211642", "Ознакомиться")</f>
        <v>Ознакомиться</v>
      </c>
      <c r="W118" s="8" t="s">
        <v>831</v>
      </c>
      <c r="X118" s="6" t="s">
        <v>838</v>
      </c>
      <c r="Y118" s="6"/>
      <c r="Z118" s="6"/>
      <c r="AA118" s="6" t="s">
        <v>833</v>
      </c>
      <c r="AB118" s="8"/>
    </row>
    <row r="119" spans="1:28" s="4" customFormat="1" ht="51.95" customHeight="1">
      <c r="A119" s="5">
        <v>0</v>
      </c>
      <c r="B119" s="6" t="s">
        <v>839</v>
      </c>
      <c r="C119" s="7">
        <v>2340</v>
      </c>
      <c r="D119" s="8" t="s">
        <v>840</v>
      </c>
      <c r="E119" s="8" t="s">
        <v>841</v>
      </c>
      <c r="F119" s="8" t="s">
        <v>842</v>
      </c>
      <c r="G119" s="6" t="s">
        <v>132</v>
      </c>
      <c r="H119" s="6" t="s">
        <v>39</v>
      </c>
      <c r="I119" s="8" t="s">
        <v>828</v>
      </c>
      <c r="J119" s="9">
        <v>1</v>
      </c>
      <c r="K119" s="9">
        <v>336</v>
      </c>
      <c r="L119" s="9">
        <v>2025</v>
      </c>
      <c r="M119" s="8" t="s">
        <v>843</v>
      </c>
      <c r="N119" s="8" t="s">
        <v>54</v>
      </c>
      <c r="O119" s="8" t="s">
        <v>55</v>
      </c>
      <c r="P119" s="6" t="s">
        <v>659</v>
      </c>
      <c r="Q119" s="8" t="s">
        <v>287</v>
      </c>
      <c r="R119" s="10" t="s">
        <v>844</v>
      </c>
      <c r="S119" s="11" t="s">
        <v>845</v>
      </c>
      <c r="T119" s="6"/>
      <c r="U119" s="24" t="str">
        <f>HYPERLINK("https://media.infra-m.ru/2141/2141117/cover/2141117.jpg", "Обложка")</f>
        <v>Обложка</v>
      </c>
      <c r="V119" s="24" t="str">
        <f>HYPERLINK("https://znanium.ru/catalog/product/2141117", "Ознакомиться")</f>
        <v>Ознакомиться</v>
      </c>
      <c r="W119" s="8" t="s">
        <v>846</v>
      </c>
      <c r="X119" s="6" t="s">
        <v>450</v>
      </c>
      <c r="Y119" s="6"/>
      <c r="Z119" s="6"/>
      <c r="AA119" s="6" t="s">
        <v>159</v>
      </c>
      <c r="AB119" s="8"/>
    </row>
    <row r="120" spans="1:28" s="4" customFormat="1" ht="51.95" customHeight="1">
      <c r="A120" s="5">
        <v>0</v>
      </c>
      <c r="B120" s="6" t="s">
        <v>847</v>
      </c>
      <c r="C120" s="7">
        <v>2030.4</v>
      </c>
      <c r="D120" s="8" t="s">
        <v>848</v>
      </c>
      <c r="E120" s="8" t="s">
        <v>849</v>
      </c>
      <c r="F120" s="8" t="s">
        <v>850</v>
      </c>
      <c r="G120" s="6" t="s">
        <v>81</v>
      </c>
      <c r="H120" s="6" t="s">
        <v>39</v>
      </c>
      <c r="I120" s="8" t="s">
        <v>851</v>
      </c>
      <c r="J120" s="9">
        <v>1</v>
      </c>
      <c r="K120" s="9">
        <v>243</v>
      </c>
      <c r="L120" s="9">
        <v>2025</v>
      </c>
      <c r="M120" s="8" t="s">
        <v>852</v>
      </c>
      <c r="N120" s="8" t="s">
        <v>54</v>
      </c>
      <c r="O120" s="8" t="s">
        <v>55</v>
      </c>
      <c r="P120" s="6" t="s">
        <v>659</v>
      </c>
      <c r="Q120" s="8" t="s">
        <v>45</v>
      </c>
      <c r="R120" s="10" t="s">
        <v>853</v>
      </c>
      <c r="S120" s="11"/>
      <c r="T120" s="6"/>
      <c r="U120" s="24" t="str">
        <f>HYPERLINK("https://media.infra-m.ru/2210/2210558/cover/2210558.jpg", "Обложка")</f>
        <v>Обложка</v>
      </c>
      <c r="V120" s="24" t="str">
        <f>HYPERLINK("https://znanium.ru/catalog/product/2210558", "Ознакомиться")</f>
        <v>Ознакомиться</v>
      </c>
      <c r="W120" s="8" t="s">
        <v>854</v>
      </c>
      <c r="X120" s="6"/>
      <c r="Y120" s="6"/>
      <c r="Z120" s="6"/>
      <c r="AA120" s="6" t="s">
        <v>127</v>
      </c>
      <c r="AB120" s="8"/>
    </row>
    <row r="121" spans="1:28" s="4" customFormat="1" ht="51.95" customHeight="1">
      <c r="A121" s="5">
        <v>0</v>
      </c>
      <c r="B121" s="6" t="s">
        <v>855</v>
      </c>
      <c r="C121" s="7">
        <v>1284</v>
      </c>
      <c r="D121" s="8" t="s">
        <v>856</v>
      </c>
      <c r="E121" s="8" t="s">
        <v>857</v>
      </c>
      <c r="F121" s="8" t="s">
        <v>858</v>
      </c>
      <c r="G121" s="6" t="s">
        <v>81</v>
      </c>
      <c r="H121" s="6" t="s">
        <v>39</v>
      </c>
      <c r="I121" s="8" t="s">
        <v>828</v>
      </c>
      <c r="J121" s="9">
        <v>1</v>
      </c>
      <c r="K121" s="9">
        <v>238</v>
      </c>
      <c r="L121" s="9">
        <v>2023</v>
      </c>
      <c r="M121" s="8" t="s">
        <v>859</v>
      </c>
      <c r="N121" s="8" t="s">
        <v>54</v>
      </c>
      <c r="O121" s="8" t="s">
        <v>55</v>
      </c>
      <c r="P121" s="6" t="s">
        <v>659</v>
      </c>
      <c r="Q121" s="8" t="s">
        <v>45</v>
      </c>
      <c r="R121" s="10" t="s">
        <v>860</v>
      </c>
      <c r="S121" s="11"/>
      <c r="T121" s="6"/>
      <c r="U121" s="24" t="str">
        <f>HYPERLINK("https://media.infra-m.ru/1859/1859803/cover/1859803.jpg", "Обложка")</f>
        <v>Обложка</v>
      </c>
      <c r="V121" s="24" t="str">
        <f>HYPERLINK("https://znanium.ru/catalog/product/1859803", "Ознакомиться")</f>
        <v>Ознакомиться</v>
      </c>
      <c r="W121" s="8" t="s">
        <v>861</v>
      </c>
      <c r="X121" s="6"/>
      <c r="Y121" s="6"/>
      <c r="Z121" s="6"/>
      <c r="AA121" s="6" t="s">
        <v>369</v>
      </c>
      <c r="AB121" s="8"/>
    </row>
    <row r="122" spans="1:28" s="4" customFormat="1" ht="44.1" customHeight="1">
      <c r="A122" s="5">
        <v>0</v>
      </c>
      <c r="B122" s="6" t="s">
        <v>862</v>
      </c>
      <c r="C122" s="7">
        <v>2028</v>
      </c>
      <c r="D122" s="8" t="s">
        <v>863</v>
      </c>
      <c r="E122" s="8" t="s">
        <v>864</v>
      </c>
      <c r="F122" s="8" t="s">
        <v>865</v>
      </c>
      <c r="G122" s="6" t="s">
        <v>81</v>
      </c>
      <c r="H122" s="6" t="s">
        <v>39</v>
      </c>
      <c r="I122" s="8" t="s">
        <v>40</v>
      </c>
      <c r="J122" s="9">
        <v>1</v>
      </c>
      <c r="K122" s="9">
        <v>367</v>
      </c>
      <c r="L122" s="9">
        <v>2024</v>
      </c>
      <c r="M122" s="8" t="s">
        <v>866</v>
      </c>
      <c r="N122" s="8" t="s">
        <v>42</v>
      </c>
      <c r="O122" s="8" t="s">
        <v>65</v>
      </c>
      <c r="P122" s="6" t="s">
        <v>44</v>
      </c>
      <c r="Q122" s="8" t="s">
        <v>45</v>
      </c>
      <c r="R122" s="10" t="s">
        <v>867</v>
      </c>
      <c r="S122" s="11"/>
      <c r="T122" s="6"/>
      <c r="U122" s="24" t="str">
        <f>HYPERLINK("https://media.infra-m.ru/2105/2105344/cover/2105344.jpg", "Обложка")</f>
        <v>Обложка</v>
      </c>
      <c r="V122" s="24" t="str">
        <f>HYPERLINK("https://znanium.ru/catalog/product/2105344", "Ознакомиться")</f>
        <v>Ознакомиться</v>
      </c>
      <c r="W122" s="8" t="s">
        <v>868</v>
      </c>
      <c r="X122" s="6"/>
      <c r="Y122" s="6"/>
      <c r="Z122" s="6"/>
      <c r="AA122" s="6" t="s">
        <v>119</v>
      </c>
      <c r="AB122" s="8"/>
    </row>
    <row r="123" spans="1:28" s="4" customFormat="1" ht="42" customHeight="1">
      <c r="A123" s="5">
        <v>0</v>
      </c>
      <c r="B123" s="6" t="s">
        <v>869</v>
      </c>
      <c r="C123" s="13">
        <v>960</v>
      </c>
      <c r="D123" s="8" t="s">
        <v>870</v>
      </c>
      <c r="E123" s="8" t="s">
        <v>871</v>
      </c>
      <c r="F123" s="8" t="s">
        <v>872</v>
      </c>
      <c r="G123" s="6" t="s">
        <v>38</v>
      </c>
      <c r="H123" s="6" t="s">
        <v>99</v>
      </c>
      <c r="I123" s="8"/>
      <c r="J123" s="9">
        <v>1</v>
      </c>
      <c r="K123" s="9">
        <v>160</v>
      </c>
      <c r="L123" s="9">
        <v>2025</v>
      </c>
      <c r="M123" s="8" t="s">
        <v>873</v>
      </c>
      <c r="N123" s="8" t="s">
        <v>42</v>
      </c>
      <c r="O123" s="8" t="s">
        <v>101</v>
      </c>
      <c r="P123" s="6" t="s">
        <v>44</v>
      </c>
      <c r="Q123" s="8" t="s">
        <v>45</v>
      </c>
      <c r="R123" s="10" t="s">
        <v>874</v>
      </c>
      <c r="S123" s="11"/>
      <c r="T123" s="6"/>
      <c r="U123" s="24" t="str">
        <f>HYPERLINK("https://media.infra-m.ru/2169/2169236/cover/2169236.jpg", "Обложка")</f>
        <v>Обложка</v>
      </c>
      <c r="V123" s="24" t="str">
        <f>HYPERLINK("https://znanium.ru/catalog/product/2169236", "Ознакомиться")</f>
        <v>Ознакомиться</v>
      </c>
      <c r="W123" s="8" t="s">
        <v>418</v>
      </c>
      <c r="X123" s="6"/>
      <c r="Y123" s="6"/>
      <c r="Z123" s="6"/>
      <c r="AA123" s="6" t="s">
        <v>290</v>
      </c>
      <c r="AB123" s="8"/>
    </row>
    <row r="124" spans="1:28" s="4" customFormat="1" ht="51.95" customHeight="1">
      <c r="A124" s="5">
        <v>0</v>
      </c>
      <c r="B124" s="6" t="s">
        <v>875</v>
      </c>
      <c r="C124" s="7">
        <v>1644</v>
      </c>
      <c r="D124" s="8" t="s">
        <v>876</v>
      </c>
      <c r="E124" s="8" t="s">
        <v>877</v>
      </c>
      <c r="F124" s="8" t="s">
        <v>878</v>
      </c>
      <c r="G124" s="6" t="s">
        <v>81</v>
      </c>
      <c r="H124" s="6" t="s">
        <v>39</v>
      </c>
      <c r="I124" s="8" t="s">
        <v>336</v>
      </c>
      <c r="J124" s="9">
        <v>1</v>
      </c>
      <c r="K124" s="9">
        <v>296</v>
      </c>
      <c r="L124" s="9">
        <v>2024</v>
      </c>
      <c r="M124" s="8" t="s">
        <v>879</v>
      </c>
      <c r="N124" s="8" t="s">
        <v>42</v>
      </c>
      <c r="O124" s="8" t="s">
        <v>101</v>
      </c>
      <c r="P124" s="6" t="s">
        <v>44</v>
      </c>
      <c r="Q124" s="8" t="s">
        <v>45</v>
      </c>
      <c r="R124" s="10" t="s">
        <v>880</v>
      </c>
      <c r="S124" s="11"/>
      <c r="T124" s="6"/>
      <c r="U124" s="24" t="str">
        <f>HYPERLINK("https://media.infra-m.ru/2122/2122502/cover/2122502.jpg", "Обложка")</f>
        <v>Обложка</v>
      </c>
      <c r="V124" s="24" t="str">
        <f>HYPERLINK("https://znanium.ru/catalog/product/2122502", "Ознакомиться")</f>
        <v>Ознакомиться</v>
      </c>
      <c r="W124" s="8" t="s">
        <v>103</v>
      </c>
      <c r="X124" s="6"/>
      <c r="Y124" s="6"/>
      <c r="Z124" s="6"/>
      <c r="AA124" s="6" t="s">
        <v>339</v>
      </c>
      <c r="AB124" s="8"/>
    </row>
    <row r="125" spans="1:28" s="4" customFormat="1" ht="42" customHeight="1">
      <c r="A125" s="5">
        <v>0</v>
      </c>
      <c r="B125" s="6" t="s">
        <v>881</v>
      </c>
      <c r="C125" s="13">
        <v>600</v>
      </c>
      <c r="D125" s="8" t="s">
        <v>882</v>
      </c>
      <c r="E125" s="8" t="s">
        <v>883</v>
      </c>
      <c r="F125" s="8" t="s">
        <v>884</v>
      </c>
      <c r="G125" s="6" t="s">
        <v>38</v>
      </c>
      <c r="H125" s="6" t="s">
        <v>39</v>
      </c>
      <c r="I125" s="8" t="s">
        <v>40</v>
      </c>
      <c r="J125" s="9">
        <v>1</v>
      </c>
      <c r="K125" s="9">
        <v>111</v>
      </c>
      <c r="L125" s="9">
        <v>2023</v>
      </c>
      <c r="M125" s="8" t="s">
        <v>885</v>
      </c>
      <c r="N125" s="8" t="s">
        <v>42</v>
      </c>
      <c r="O125" s="8" t="s">
        <v>189</v>
      </c>
      <c r="P125" s="6" t="s">
        <v>44</v>
      </c>
      <c r="Q125" s="8" t="s">
        <v>45</v>
      </c>
      <c r="R125" s="10" t="s">
        <v>573</v>
      </c>
      <c r="S125" s="11"/>
      <c r="T125" s="6"/>
      <c r="U125" s="24" t="str">
        <f>HYPERLINK("https://media.infra-m.ru/1937/1937967/cover/1937967.jpg", "Обложка")</f>
        <v>Обложка</v>
      </c>
      <c r="V125" s="24" t="str">
        <f>HYPERLINK("https://znanium.ru/catalog/product/1937967", "Ознакомиться")</f>
        <v>Ознакомиться</v>
      </c>
      <c r="W125" s="8" t="s">
        <v>886</v>
      </c>
      <c r="X125" s="6"/>
      <c r="Y125" s="6"/>
      <c r="Z125" s="6"/>
      <c r="AA125" s="6" t="s">
        <v>127</v>
      </c>
      <c r="AB125" s="8"/>
    </row>
    <row r="126" spans="1:28" s="4" customFormat="1" ht="51.95" customHeight="1">
      <c r="A126" s="5">
        <v>0</v>
      </c>
      <c r="B126" s="6" t="s">
        <v>887</v>
      </c>
      <c r="C126" s="7">
        <v>1908</v>
      </c>
      <c r="D126" s="8" t="s">
        <v>888</v>
      </c>
      <c r="E126" s="8" t="s">
        <v>889</v>
      </c>
      <c r="F126" s="8" t="s">
        <v>890</v>
      </c>
      <c r="G126" s="6" t="s">
        <v>81</v>
      </c>
      <c r="H126" s="6" t="s">
        <v>571</v>
      </c>
      <c r="I126" s="8"/>
      <c r="J126" s="9">
        <v>1</v>
      </c>
      <c r="K126" s="9">
        <v>304</v>
      </c>
      <c r="L126" s="9">
        <v>2025</v>
      </c>
      <c r="M126" s="8" t="s">
        <v>891</v>
      </c>
      <c r="N126" s="8" t="s">
        <v>42</v>
      </c>
      <c r="O126" s="8" t="s">
        <v>246</v>
      </c>
      <c r="P126" s="6" t="s">
        <v>44</v>
      </c>
      <c r="Q126" s="8" t="s">
        <v>45</v>
      </c>
      <c r="R126" s="10" t="s">
        <v>731</v>
      </c>
      <c r="S126" s="11"/>
      <c r="T126" s="6"/>
      <c r="U126" s="24" t="str">
        <f>HYPERLINK("https://media.infra-m.ru/2202/2202332/cover/2202332.jpg", "Обложка")</f>
        <v>Обложка</v>
      </c>
      <c r="V126" s="24" t="str">
        <f>HYPERLINK("https://znanium.ru/catalog/product/2202332", "Ознакомиться")</f>
        <v>Ознакомиться</v>
      </c>
      <c r="W126" s="8" t="s">
        <v>167</v>
      </c>
      <c r="X126" s="6"/>
      <c r="Y126" s="6"/>
      <c r="Z126" s="6"/>
      <c r="AA126" s="6" t="s">
        <v>892</v>
      </c>
      <c r="AB126" s="8"/>
    </row>
    <row r="127" spans="1:28" s="4" customFormat="1" ht="51.95" customHeight="1">
      <c r="A127" s="5">
        <v>0</v>
      </c>
      <c r="B127" s="6" t="s">
        <v>893</v>
      </c>
      <c r="C127" s="13">
        <v>977.9</v>
      </c>
      <c r="D127" s="8" t="s">
        <v>894</v>
      </c>
      <c r="E127" s="8" t="s">
        <v>895</v>
      </c>
      <c r="F127" s="8" t="s">
        <v>890</v>
      </c>
      <c r="G127" s="6" t="s">
        <v>38</v>
      </c>
      <c r="H127" s="6" t="s">
        <v>571</v>
      </c>
      <c r="I127" s="8"/>
      <c r="J127" s="9">
        <v>1</v>
      </c>
      <c r="K127" s="9">
        <v>240</v>
      </c>
      <c r="L127" s="9">
        <v>2019</v>
      </c>
      <c r="M127" s="8" t="s">
        <v>896</v>
      </c>
      <c r="N127" s="8" t="s">
        <v>42</v>
      </c>
      <c r="O127" s="8" t="s">
        <v>246</v>
      </c>
      <c r="P127" s="6" t="s">
        <v>44</v>
      </c>
      <c r="Q127" s="8" t="s">
        <v>45</v>
      </c>
      <c r="R127" s="10" t="s">
        <v>731</v>
      </c>
      <c r="S127" s="11"/>
      <c r="T127" s="6"/>
      <c r="U127" s="24" t="str">
        <f>HYPERLINK("https://media.infra-m.ru/1015/1015851/cover/1015851.jpg", "Обложка")</f>
        <v>Обложка</v>
      </c>
      <c r="V127" s="24" t="str">
        <f>HYPERLINK("https://znanium.ru/catalog/product/2202332", "Ознакомиться")</f>
        <v>Ознакомиться</v>
      </c>
      <c r="W127" s="8" t="s">
        <v>167</v>
      </c>
      <c r="X127" s="6"/>
      <c r="Y127" s="6"/>
      <c r="Z127" s="6"/>
      <c r="AA127" s="6" t="s">
        <v>48</v>
      </c>
      <c r="AB127" s="8"/>
    </row>
    <row r="128" spans="1:28" s="4" customFormat="1" ht="42" customHeight="1">
      <c r="A128" s="5">
        <v>0</v>
      </c>
      <c r="B128" s="6" t="s">
        <v>897</v>
      </c>
      <c r="C128" s="7">
        <v>1024.8</v>
      </c>
      <c r="D128" s="8" t="s">
        <v>898</v>
      </c>
      <c r="E128" s="8" t="s">
        <v>899</v>
      </c>
      <c r="F128" s="8" t="s">
        <v>900</v>
      </c>
      <c r="G128" s="6" t="s">
        <v>38</v>
      </c>
      <c r="H128" s="6" t="s">
        <v>39</v>
      </c>
      <c r="I128" s="8" t="s">
        <v>40</v>
      </c>
      <c r="J128" s="9">
        <v>1</v>
      </c>
      <c r="K128" s="9">
        <v>169</v>
      </c>
      <c r="L128" s="9">
        <v>2025</v>
      </c>
      <c r="M128" s="8" t="s">
        <v>901</v>
      </c>
      <c r="N128" s="8" t="s">
        <v>42</v>
      </c>
      <c r="O128" s="8" t="s">
        <v>246</v>
      </c>
      <c r="P128" s="6" t="s">
        <v>44</v>
      </c>
      <c r="Q128" s="8" t="s">
        <v>45</v>
      </c>
      <c r="R128" s="10" t="s">
        <v>902</v>
      </c>
      <c r="S128" s="11"/>
      <c r="T128" s="6"/>
      <c r="U128" s="24" t="str">
        <f>HYPERLINK("https://media.infra-m.ru/2181/2181367/cover/2181367.jpg", "Обложка")</f>
        <v>Обложка</v>
      </c>
      <c r="V128" s="24" t="str">
        <f>HYPERLINK("https://znanium.ru/catalog/product/2052386", "Ознакомиться")</f>
        <v>Ознакомиться</v>
      </c>
      <c r="W128" s="8" t="s">
        <v>167</v>
      </c>
      <c r="X128" s="6"/>
      <c r="Y128" s="6"/>
      <c r="Z128" s="6"/>
      <c r="AA128" s="6" t="s">
        <v>339</v>
      </c>
      <c r="AB128" s="8"/>
    </row>
    <row r="129" spans="1:28" s="4" customFormat="1" ht="51.95" customHeight="1">
      <c r="A129" s="5">
        <v>0</v>
      </c>
      <c r="B129" s="6" t="s">
        <v>903</v>
      </c>
      <c r="C129" s="7">
        <v>1008</v>
      </c>
      <c r="D129" s="8" t="s">
        <v>904</v>
      </c>
      <c r="E129" s="8" t="s">
        <v>905</v>
      </c>
      <c r="F129" s="8" t="s">
        <v>906</v>
      </c>
      <c r="G129" s="6" t="s">
        <v>38</v>
      </c>
      <c r="H129" s="6" t="s">
        <v>39</v>
      </c>
      <c r="I129" s="8" t="s">
        <v>40</v>
      </c>
      <c r="J129" s="9">
        <v>1</v>
      </c>
      <c r="K129" s="9">
        <v>181</v>
      </c>
      <c r="L129" s="9">
        <v>2023</v>
      </c>
      <c r="M129" s="8" t="s">
        <v>907</v>
      </c>
      <c r="N129" s="8" t="s">
        <v>284</v>
      </c>
      <c r="O129" s="8" t="s">
        <v>482</v>
      </c>
      <c r="P129" s="6" t="s">
        <v>44</v>
      </c>
      <c r="Q129" s="8" t="s">
        <v>45</v>
      </c>
      <c r="R129" s="10" t="s">
        <v>908</v>
      </c>
      <c r="S129" s="11"/>
      <c r="T129" s="6"/>
      <c r="U129" s="24" t="str">
        <f>HYPERLINK("https://media.infra-m.ru/1893/1893921/cover/1893921.jpg", "Обложка")</f>
        <v>Обложка</v>
      </c>
      <c r="V129" s="24" t="str">
        <f>HYPERLINK("https://znanium.ru/catalog/product/1893921", "Ознакомиться")</f>
        <v>Ознакомиться</v>
      </c>
      <c r="W129" s="8" t="s">
        <v>909</v>
      </c>
      <c r="X129" s="6"/>
      <c r="Y129" s="6"/>
      <c r="Z129" s="6"/>
      <c r="AA129" s="6" t="s">
        <v>168</v>
      </c>
      <c r="AB129" s="8"/>
    </row>
    <row r="130" spans="1:28" s="4" customFormat="1" ht="42" customHeight="1">
      <c r="A130" s="5">
        <v>0</v>
      </c>
      <c r="B130" s="6" t="s">
        <v>910</v>
      </c>
      <c r="C130" s="7">
        <v>1212</v>
      </c>
      <c r="D130" s="8" t="s">
        <v>911</v>
      </c>
      <c r="E130" s="8" t="s">
        <v>912</v>
      </c>
      <c r="F130" s="8" t="s">
        <v>913</v>
      </c>
      <c r="G130" s="6" t="s">
        <v>38</v>
      </c>
      <c r="H130" s="6" t="s">
        <v>39</v>
      </c>
      <c r="I130" s="8" t="s">
        <v>40</v>
      </c>
      <c r="J130" s="9">
        <v>1</v>
      </c>
      <c r="K130" s="9">
        <v>201</v>
      </c>
      <c r="L130" s="9">
        <v>2025</v>
      </c>
      <c r="M130" s="8" t="s">
        <v>914</v>
      </c>
      <c r="N130" s="8" t="s">
        <v>42</v>
      </c>
      <c r="O130" s="8" t="s">
        <v>189</v>
      </c>
      <c r="P130" s="6" t="s">
        <v>44</v>
      </c>
      <c r="Q130" s="8" t="s">
        <v>45</v>
      </c>
      <c r="R130" s="10" t="s">
        <v>915</v>
      </c>
      <c r="S130" s="11"/>
      <c r="T130" s="6"/>
      <c r="U130" s="24" t="str">
        <f>HYPERLINK("https://media.infra-m.ru/2173/2173235/cover/2173235.jpg", "Обложка")</f>
        <v>Обложка</v>
      </c>
      <c r="V130" s="24" t="str">
        <f>HYPERLINK("https://znanium.ru/catalog/product/2173235", "Ознакомиться")</f>
        <v>Ознакомиться</v>
      </c>
      <c r="W130" s="8" t="s">
        <v>916</v>
      </c>
      <c r="X130" s="6"/>
      <c r="Y130" s="6"/>
      <c r="Z130" s="6"/>
      <c r="AA130" s="6" t="s">
        <v>111</v>
      </c>
      <c r="AB130" s="8" t="s">
        <v>917</v>
      </c>
    </row>
    <row r="131" spans="1:28" s="4" customFormat="1" ht="51.95" customHeight="1">
      <c r="A131" s="5">
        <v>0</v>
      </c>
      <c r="B131" s="6" t="s">
        <v>918</v>
      </c>
      <c r="C131" s="7">
        <v>1265.9000000000001</v>
      </c>
      <c r="D131" s="8" t="s">
        <v>919</v>
      </c>
      <c r="E131" s="8" t="s">
        <v>920</v>
      </c>
      <c r="F131" s="8" t="s">
        <v>921</v>
      </c>
      <c r="G131" s="6" t="s">
        <v>38</v>
      </c>
      <c r="H131" s="6" t="s">
        <v>39</v>
      </c>
      <c r="I131" s="8" t="s">
        <v>40</v>
      </c>
      <c r="J131" s="9">
        <v>1</v>
      </c>
      <c r="K131" s="9">
        <v>235</v>
      </c>
      <c r="L131" s="9">
        <v>2023</v>
      </c>
      <c r="M131" s="8" t="s">
        <v>922</v>
      </c>
      <c r="N131" s="8" t="s">
        <v>42</v>
      </c>
      <c r="O131" s="8" t="s">
        <v>189</v>
      </c>
      <c r="P131" s="6" t="s">
        <v>44</v>
      </c>
      <c r="Q131" s="8" t="s">
        <v>45</v>
      </c>
      <c r="R131" s="10" t="s">
        <v>923</v>
      </c>
      <c r="S131" s="11"/>
      <c r="T131" s="6"/>
      <c r="U131" s="24" t="str">
        <f>HYPERLINK("https://media.infra-m.ru/1981/1981619/cover/1981619.jpg", "Обложка")</f>
        <v>Обложка</v>
      </c>
      <c r="V131" s="24" t="str">
        <f>HYPERLINK("https://znanium.ru/catalog/product/1012411", "Ознакомиться")</f>
        <v>Ознакомиться</v>
      </c>
      <c r="W131" s="8" t="s">
        <v>516</v>
      </c>
      <c r="X131" s="6"/>
      <c r="Y131" s="6"/>
      <c r="Z131" s="6"/>
      <c r="AA131" s="6" t="s">
        <v>290</v>
      </c>
      <c r="AB131" s="8"/>
    </row>
    <row r="132" spans="1:28" s="4" customFormat="1" ht="44.1" customHeight="1">
      <c r="A132" s="5">
        <v>0</v>
      </c>
      <c r="B132" s="6" t="s">
        <v>924</v>
      </c>
      <c r="C132" s="7">
        <v>1430.4</v>
      </c>
      <c r="D132" s="8" t="s">
        <v>925</v>
      </c>
      <c r="E132" s="8" t="s">
        <v>926</v>
      </c>
      <c r="F132" s="8" t="s">
        <v>927</v>
      </c>
      <c r="G132" s="6" t="s">
        <v>38</v>
      </c>
      <c r="H132" s="6" t="s">
        <v>182</v>
      </c>
      <c r="I132" s="8" t="s">
        <v>40</v>
      </c>
      <c r="J132" s="9">
        <v>1</v>
      </c>
      <c r="K132" s="9">
        <v>178</v>
      </c>
      <c r="L132" s="9">
        <v>2025</v>
      </c>
      <c r="M132" s="8" t="s">
        <v>928</v>
      </c>
      <c r="N132" s="8" t="s">
        <v>42</v>
      </c>
      <c r="O132" s="8" t="s">
        <v>43</v>
      </c>
      <c r="P132" s="6" t="s">
        <v>929</v>
      </c>
      <c r="Q132" s="8" t="s">
        <v>45</v>
      </c>
      <c r="R132" s="10" t="s">
        <v>930</v>
      </c>
      <c r="S132" s="11"/>
      <c r="T132" s="6"/>
      <c r="U132" s="24" t="str">
        <f>HYPERLINK("https://media.infra-m.ru/2179/2179728/cover/2179728.jpg", "Обложка")</f>
        <v>Обложка</v>
      </c>
      <c r="V132" s="24" t="str">
        <f>HYPERLINK("https://znanium.ru/catalog/product/2179728", "Ознакомиться")</f>
        <v>Ознакомиться</v>
      </c>
      <c r="W132" s="8"/>
      <c r="X132" s="6"/>
      <c r="Y132" s="6"/>
      <c r="Z132" s="6"/>
      <c r="AA132" s="6" t="s">
        <v>290</v>
      </c>
      <c r="AB132" s="8"/>
    </row>
    <row r="133" spans="1:28" s="4" customFormat="1" ht="44.1" customHeight="1">
      <c r="A133" s="5">
        <v>0</v>
      </c>
      <c r="B133" s="6" t="s">
        <v>931</v>
      </c>
      <c r="C133" s="13">
        <v>912</v>
      </c>
      <c r="D133" s="8" t="s">
        <v>932</v>
      </c>
      <c r="E133" s="8" t="s">
        <v>933</v>
      </c>
      <c r="F133" s="8" t="s">
        <v>934</v>
      </c>
      <c r="G133" s="6" t="s">
        <v>81</v>
      </c>
      <c r="H133" s="6" t="s">
        <v>39</v>
      </c>
      <c r="I133" s="8" t="s">
        <v>40</v>
      </c>
      <c r="J133" s="9">
        <v>1</v>
      </c>
      <c r="K133" s="9">
        <v>222</v>
      </c>
      <c r="L133" s="9">
        <v>2020</v>
      </c>
      <c r="M133" s="8" t="s">
        <v>935</v>
      </c>
      <c r="N133" s="8" t="s">
        <v>42</v>
      </c>
      <c r="O133" s="8" t="s">
        <v>101</v>
      </c>
      <c r="P133" s="6" t="s">
        <v>44</v>
      </c>
      <c r="Q133" s="8" t="s">
        <v>45</v>
      </c>
      <c r="R133" s="10" t="s">
        <v>936</v>
      </c>
      <c r="S133" s="11"/>
      <c r="T133" s="6"/>
      <c r="U133" s="24" t="str">
        <f>HYPERLINK("https://media.infra-m.ru/1039/1039311/cover/1039311.jpg", "Обложка")</f>
        <v>Обложка</v>
      </c>
      <c r="V133" s="24" t="str">
        <f>HYPERLINK("https://znanium.ru/catalog/product/1039311", "Ознакомиться")</f>
        <v>Ознакомиться</v>
      </c>
      <c r="W133" s="8" t="s">
        <v>937</v>
      </c>
      <c r="X133" s="6"/>
      <c r="Y133" s="6"/>
      <c r="Z133" s="6"/>
      <c r="AA133" s="6" t="s">
        <v>68</v>
      </c>
      <c r="AB133" s="8"/>
    </row>
    <row r="134" spans="1:28" s="4" customFormat="1" ht="42" customHeight="1">
      <c r="A134" s="5">
        <v>0</v>
      </c>
      <c r="B134" s="6" t="s">
        <v>938</v>
      </c>
      <c r="C134" s="13">
        <v>904.8</v>
      </c>
      <c r="D134" s="8" t="s">
        <v>939</v>
      </c>
      <c r="E134" s="8" t="s">
        <v>940</v>
      </c>
      <c r="F134" s="8" t="s">
        <v>934</v>
      </c>
      <c r="G134" s="6" t="s">
        <v>81</v>
      </c>
      <c r="H134" s="6" t="s">
        <v>39</v>
      </c>
      <c r="I134" s="8" t="s">
        <v>40</v>
      </c>
      <c r="J134" s="9">
        <v>1</v>
      </c>
      <c r="K134" s="9">
        <v>166</v>
      </c>
      <c r="L134" s="9">
        <v>2023</v>
      </c>
      <c r="M134" s="8" t="s">
        <v>941</v>
      </c>
      <c r="N134" s="8" t="s">
        <v>42</v>
      </c>
      <c r="O134" s="8" t="s">
        <v>101</v>
      </c>
      <c r="P134" s="6" t="s">
        <v>44</v>
      </c>
      <c r="Q134" s="8" t="s">
        <v>45</v>
      </c>
      <c r="R134" s="10" t="s">
        <v>564</v>
      </c>
      <c r="S134" s="11"/>
      <c r="T134" s="6"/>
      <c r="U134" s="24" t="str">
        <f>HYPERLINK("https://media.infra-m.ru/2006/2006054/cover/2006054.jpg", "Обложка")</f>
        <v>Обложка</v>
      </c>
      <c r="V134" s="24" t="str">
        <f>HYPERLINK("https://znanium.ru/catalog/product/989964", "Ознакомиться")</f>
        <v>Ознакомиться</v>
      </c>
      <c r="W134" s="8" t="s">
        <v>937</v>
      </c>
      <c r="X134" s="6"/>
      <c r="Y134" s="6"/>
      <c r="Z134" s="6"/>
      <c r="AA134" s="6" t="s">
        <v>369</v>
      </c>
      <c r="AB134" s="8"/>
    </row>
    <row r="135" spans="1:28" s="4" customFormat="1" ht="42" customHeight="1">
      <c r="A135" s="5">
        <v>0</v>
      </c>
      <c r="B135" s="6" t="s">
        <v>942</v>
      </c>
      <c r="C135" s="13">
        <v>972</v>
      </c>
      <c r="D135" s="8" t="s">
        <v>943</v>
      </c>
      <c r="E135" s="8" t="s">
        <v>944</v>
      </c>
      <c r="F135" s="8" t="s">
        <v>934</v>
      </c>
      <c r="G135" s="6" t="s">
        <v>81</v>
      </c>
      <c r="H135" s="6" t="s">
        <v>39</v>
      </c>
      <c r="I135" s="8" t="s">
        <v>40</v>
      </c>
      <c r="J135" s="9">
        <v>1</v>
      </c>
      <c r="K135" s="9">
        <v>239</v>
      </c>
      <c r="L135" s="9">
        <v>2019</v>
      </c>
      <c r="M135" s="8" t="s">
        <v>945</v>
      </c>
      <c r="N135" s="8" t="s">
        <v>42</v>
      </c>
      <c r="O135" s="8" t="s">
        <v>101</v>
      </c>
      <c r="P135" s="6" t="s">
        <v>44</v>
      </c>
      <c r="Q135" s="8" t="s">
        <v>45</v>
      </c>
      <c r="R135" s="10" t="s">
        <v>564</v>
      </c>
      <c r="S135" s="11"/>
      <c r="T135" s="6"/>
      <c r="U135" s="24" t="str">
        <f>HYPERLINK("https://media.infra-m.ru/0989/0989144/cover/989144.jpg", "Обложка")</f>
        <v>Обложка</v>
      </c>
      <c r="V135" s="24" t="str">
        <f>HYPERLINK("https://znanium.ru/catalog/product/989144", "Ознакомиться")</f>
        <v>Ознакомиться</v>
      </c>
      <c r="W135" s="8" t="s">
        <v>937</v>
      </c>
      <c r="X135" s="6"/>
      <c r="Y135" s="6"/>
      <c r="Z135" s="6"/>
      <c r="AA135" s="6" t="s">
        <v>369</v>
      </c>
      <c r="AB135" s="8"/>
    </row>
    <row r="136" spans="1:28" s="4" customFormat="1" ht="44.1" customHeight="1">
      <c r="A136" s="5">
        <v>0</v>
      </c>
      <c r="B136" s="6" t="s">
        <v>946</v>
      </c>
      <c r="C136" s="7">
        <v>2116.8000000000002</v>
      </c>
      <c r="D136" s="8" t="s">
        <v>947</v>
      </c>
      <c r="E136" s="8" t="s">
        <v>948</v>
      </c>
      <c r="F136" s="8" t="s">
        <v>949</v>
      </c>
      <c r="G136" s="6" t="s">
        <v>81</v>
      </c>
      <c r="H136" s="6" t="s">
        <v>39</v>
      </c>
      <c r="I136" s="8" t="s">
        <v>40</v>
      </c>
      <c r="J136" s="9">
        <v>1</v>
      </c>
      <c r="K136" s="9">
        <v>340</v>
      </c>
      <c r="L136" s="9">
        <v>2026</v>
      </c>
      <c r="M136" s="8" t="s">
        <v>950</v>
      </c>
      <c r="N136" s="8" t="s">
        <v>42</v>
      </c>
      <c r="O136" s="8" t="s">
        <v>65</v>
      </c>
      <c r="P136" s="6" t="s">
        <v>44</v>
      </c>
      <c r="Q136" s="8" t="s">
        <v>45</v>
      </c>
      <c r="R136" s="10" t="s">
        <v>951</v>
      </c>
      <c r="S136" s="11"/>
      <c r="T136" s="6"/>
      <c r="U136" s="24" t="str">
        <f>HYPERLINK("https://media.infra-m.ru/2213/2213713/cover/2213713.jpg", "Обложка")</f>
        <v>Обложка</v>
      </c>
      <c r="V136" s="24" t="str">
        <f>HYPERLINK("https://znanium.ru/catalog/product/1898011", "Ознакомиться")</f>
        <v>Ознакомиться</v>
      </c>
      <c r="W136" s="8" t="s">
        <v>868</v>
      </c>
      <c r="X136" s="6"/>
      <c r="Y136" s="6"/>
      <c r="Z136" s="6"/>
      <c r="AA136" s="6" t="s">
        <v>168</v>
      </c>
      <c r="AB136" s="8"/>
    </row>
    <row r="137" spans="1:28" s="4" customFormat="1" ht="51.95" customHeight="1">
      <c r="A137" s="5">
        <v>0</v>
      </c>
      <c r="B137" s="6" t="s">
        <v>952</v>
      </c>
      <c r="C137" s="13">
        <v>948</v>
      </c>
      <c r="D137" s="8" t="s">
        <v>953</v>
      </c>
      <c r="E137" s="8" t="s">
        <v>954</v>
      </c>
      <c r="F137" s="8" t="s">
        <v>955</v>
      </c>
      <c r="G137" s="6" t="s">
        <v>38</v>
      </c>
      <c r="H137" s="6" t="s">
        <v>39</v>
      </c>
      <c r="I137" s="8" t="s">
        <v>40</v>
      </c>
      <c r="J137" s="9">
        <v>1</v>
      </c>
      <c r="K137" s="9">
        <v>158</v>
      </c>
      <c r="L137" s="9">
        <v>2025</v>
      </c>
      <c r="M137" s="8" t="s">
        <v>956</v>
      </c>
      <c r="N137" s="8" t="s">
        <v>229</v>
      </c>
      <c r="O137" s="8" t="s">
        <v>230</v>
      </c>
      <c r="P137" s="6" t="s">
        <v>44</v>
      </c>
      <c r="Q137" s="8" t="s">
        <v>45</v>
      </c>
      <c r="R137" s="10" t="s">
        <v>957</v>
      </c>
      <c r="S137" s="11"/>
      <c r="T137" s="6"/>
      <c r="U137" s="24" t="str">
        <f>HYPERLINK("https://media.infra-m.ru/2188/2188192/cover/2188192.jpg", "Обложка")</f>
        <v>Обложка</v>
      </c>
      <c r="V137" s="24" t="str">
        <f>HYPERLINK("https://znanium.ru/catalog/product/2188192", "Ознакомиться")</f>
        <v>Ознакомиться</v>
      </c>
      <c r="W137" s="8" t="s">
        <v>354</v>
      </c>
      <c r="X137" s="6"/>
      <c r="Y137" s="6"/>
      <c r="Z137" s="6"/>
      <c r="AA137" s="6" t="s">
        <v>168</v>
      </c>
      <c r="AB137" s="8"/>
    </row>
    <row r="138" spans="1:28" s="4" customFormat="1" ht="51.95" customHeight="1">
      <c r="A138" s="5">
        <v>0</v>
      </c>
      <c r="B138" s="6" t="s">
        <v>958</v>
      </c>
      <c r="C138" s="7">
        <v>1094.4000000000001</v>
      </c>
      <c r="D138" s="8" t="s">
        <v>959</v>
      </c>
      <c r="E138" s="8" t="s">
        <v>960</v>
      </c>
      <c r="F138" s="8" t="s">
        <v>961</v>
      </c>
      <c r="G138" s="6" t="s">
        <v>38</v>
      </c>
      <c r="H138" s="6" t="s">
        <v>39</v>
      </c>
      <c r="I138" s="8" t="s">
        <v>40</v>
      </c>
      <c r="J138" s="9">
        <v>1</v>
      </c>
      <c r="K138" s="9">
        <v>149</v>
      </c>
      <c r="L138" s="9">
        <v>2024</v>
      </c>
      <c r="M138" s="8" t="s">
        <v>962</v>
      </c>
      <c r="N138" s="8" t="s">
        <v>220</v>
      </c>
      <c r="O138" s="8" t="s">
        <v>252</v>
      </c>
      <c r="P138" s="6" t="s">
        <v>44</v>
      </c>
      <c r="Q138" s="8" t="s">
        <v>45</v>
      </c>
      <c r="R138" s="10" t="s">
        <v>963</v>
      </c>
      <c r="S138" s="11"/>
      <c r="T138" s="6"/>
      <c r="U138" s="24" t="str">
        <f>HYPERLINK("https://media.infra-m.ru/2104/2104876/cover/2104876.jpg", "Обложка")</f>
        <v>Обложка</v>
      </c>
      <c r="V138" s="24" t="str">
        <f>HYPERLINK("https://znanium.ru/catalog/product/2104876", "Ознакомиться")</f>
        <v>Ознакомиться</v>
      </c>
      <c r="W138" s="8" t="s">
        <v>964</v>
      </c>
      <c r="X138" s="6"/>
      <c r="Y138" s="6"/>
      <c r="Z138" s="6"/>
      <c r="AA138" s="6" t="s">
        <v>58</v>
      </c>
      <c r="AB138" s="8"/>
    </row>
    <row r="139" spans="1:28" s="4" customFormat="1" ht="51.95" customHeight="1">
      <c r="A139" s="5">
        <v>0</v>
      </c>
      <c r="B139" s="6" t="s">
        <v>965</v>
      </c>
      <c r="C139" s="13">
        <v>988.8</v>
      </c>
      <c r="D139" s="8" t="s">
        <v>966</v>
      </c>
      <c r="E139" s="8" t="s">
        <v>967</v>
      </c>
      <c r="F139" s="8" t="s">
        <v>968</v>
      </c>
      <c r="G139" s="6" t="s">
        <v>38</v>
      </c>
      <c r="H139" s="6" t="s">
        <v>39</v>
      </c>
      <c r="I139" s="8" t="s">
        <v>40</v>
      </c>
      <c r="J139" s="9">
        <v>1</v>
      </c>
      <c r="K139" s="9">
        <v>157</v>
      </c>
      <c r="L139" s="9">
        <v>2025</v>
      </c>
      <c r="M139" s="8" t="s">
        <v>969</v>
      </c>
      <c r="N139" s="8" t="s">
        <v>284</v>
      </c>
      <c r="O139" s="8" t="s">
        <v>717</v>
      </c>
      <c r="P139" s="6" t="s">
        <v>44</v>
      </c>
      <c r="Q139" s="8" t="s">
        <v>45</v>
      </c>
      <c r="R139" s="10" t="s">
        <v>970</v>
      </c>
      <c r="S139" s="11"/>
      <c r="T139" s="6"/>
      <c r="U139" s="24" t="str">
        <f>HYPERLINK("https://media.infra-m.ru/2208/2208745/cover/2208745.jpg", "Обложка")</f>
        <v>Обложка</v>
      </c>
      <c r="V139" s="24" t="str">
        <f>HYPERLINK("https://znanium.ru/catalog/product/2114757", "Ознакомиться")</f>
        <v>Ознакомиться</v>
      </c>
      <c r="W139" s="8" t="s">
        <v>971</v>
      </c>
      <c r="X139" s="6"/>
      <c r="Y139" s="6"/>
      <c r="Z139" s="6"/>
      <c r="AA139" s="6" t="s">
        <v>48</v>
      </c>
      <c r="AB139" s="8"/>
    </row>
    <row r="140" spans="1:28" s="4" customFormat="1" ht="42" customHeight="1">
      <c r="A140" s="5">
        <v>0</v>
      </c>
      <c r="B140" s="6" t="s">
        <v>972</v>
      </c>
      <c r="C140" s="7">
        <v>2568</v>
      </c>
      <c r="D140" s="8" t="s">
        <v>973</v>
      </c>
      <c r="E140" s="8" t="s">
        <v>974</v>
      </c>
      <c r="F140" s="8" t="s">
        <v>975</v>
      </c>
      <c r="G140" s="6" t="s">
        <v>81</v>
      </c>
      <c r="H140" s="6" t="s">
        <v>99</v>
      </c>
      <c r="I140" s="8"/>
      <c r="J140" s="9">
        <v>1</v>
      </c>
      <c r="K140" s="9">
        <v>232</v>
      </c>
      <c r="L140" s="9">
        <v>2026</v>
      </c>
      <c r="M140" s="8" t="s">
        <v>976</v>
      </c>
      <c r="N140" s="8" t="s">
        <v>42</v>
      </c>
      <c r="O140" s="8" t="s">
        <v>101</v>
      </c>
      <c r="P140" s="6" t="s">
        <v>44</v>
      </c>
      <c r="Q140" s="8" t="s">
        <v>45</v>
      </c>
      <c r="R140" s="10" t="s">
        <v>269</v>
      </c>
      <c r="S140" s="11"/>
      <c r="T140" s="6"/>
      <c r="U140" s="24" t="str">
        <f>HYPERLINK("https://media.infra-m.ru/2216/2216844/cover/2216844.jpg", "Обложка")</f>
        <v>Обложка</v>
      </c>
      <c r="V140" s="24" t="str">
        <f>HYPERLINK("https://znanium.ru/catalog/product/2216844", "Ознакомиться")</f>
        <v>Ознакомиться</v>
      </c>
      <c r="W140" s="8" t="s">
        <v>305</v>
      </c>
      <c r="X140" s="6"/>
      <c r="Y140" s="6"/>
      <c r="Z140" s="6"/>
      <c r="AA140" s="6" t="s">
        <v>168</v>
      </c>
      <c r="AB140" s="8"/>
    </row>
    <row r="141" spans="1:28" s="4" customFormat="1" ht="51.95" customHeight="1">
      <c r="A141" s="5">
        <v>0</v>
      </c>
      <c r="B141" s="6" t="s">
        <v>977</v>
      </c>
      <c r="C141" s="7">
        <v>3528</v>
      </c>
      <c r="D141" s="8" t="s">
        <v>978</v>
      </c>
      <c r="E141" s="8" t="s">
        <v>979</v>
      </c>
      <c r="F141" s="8" t="s">
        <v>980</v>
      </c>
      <c r="G141" s="6" t="s">
        <v>132</v>
      </c>
      <c r="H141" s="6" t="s">
        <v>39</v>
      </c>
      <c r="I141" s="8" t="s">
        <v>40</v>
      </c>
      <c r="J141" s="9">
        <v>1</v>
      </c>
      <c r="K141" s="9">
        <v>597</v>
      </c>
      <c r="L141" s="9">
        <v>2026</v>
      </c>
      <c r="M141" s="8" t="s">
        <v>981</v>
      </c>
      <c r="N141" s="8" t="s">
        <v>54</v>
      </c>
      <c r="O141" s="8" t="s">
        <v>117</v>
      </c>
      <c r="P141" s="6" t="s">
        <v>44</v>
      </c>
      <c r="Q141" s="8" t="s">
        <v>45</v>
      </c>
      <c r="R141" s="10" t="s">
        <v>982</v>
      </c>
      <c r="S141" s="11"/>
      <c r="T141" s="6"/>
      <c r="U141" s="24" t="str">
        <f>HYPERLINK("https://media.infra-m.ru/2215/2215332/cover/2215332.jpg", "Обложка")</f>
        <v>Обложка</v>
      </c>
      <c r="V141" s="24" t="str">
        <f>HYPERLINK("https://znanium.ru/catalog/product/2215332", "Ознакомиться")</f>
        <v>Ознакомиться</v>
      </c>
      <c r="W141" s="8" t="s">
        <v>846</v>
      </c>
      <c r="X141" s="6"/>
      <c r="Y141" s="6"/>
      <c r="Z141" s="6"/>
      <c r="AA141" s="6" t="s">
        <v>94</v>
      </c>
      <c r="AB141" s="8"/>
    </row>
    <row r="142" spans="1:28" s="4" customFormat="1" ht="51.95" customHeight="1">
      <c r="A142" s="5">
        <v>0</v>
      </c>
      <c r="B142" s="6" t="s">
        <v>983</v>
      </c>
      <c r="C142" s="7">
        <v>2248.8000000000002</v>
      </c>
      <c r="D142" s="8" t="s">
        <v>984</v>
      </c>
      <c r="E142" s="8" t="s">
        <v>985</v>
      </c>
      <c r="F142" s="8" t="s">
        <v>986</v>
      </c>
      <c r="G142" s="6" t="s">
        <v>81</v>
      </c>
      <c r="H142" s="6" t="s">
        <v>39</v>
      </c>
      <c r="I142" s="8" t="s">
        <v>40</v>
      </c>
      <c r="J142" s="9">
        <v>1</v>
      </c>
      <c r="K142" s="9">
        <v>374</v>
      </c>
      <c r="L142" s="9">
        <v>2025</v>
      </c>
      <c r="M142" s="8" t="s">
        <v>987</v>
      </c>
      <c r="N142" s="8" t="s">
        <v>284</v>
      </c>
      <c r="O142" s="8" t="s">
        <v>383</v>
      </c>
      <c r="P142" s="6" t="s">
        <v>44</v>
      </c>
      <c r="Q142" s="8" t="s">
        <v>45</v>
      </c>
      <c r="R142" s="10" t="s">
        <v>988</v>
      </c>
      <c r="S142" s="11"/>
      <c r="T142" s="6"/>
      <c r="U142" s="24" t="str">
        <f>HYPERLINK("https://media.infra-m.ru/2173/2173237/cover/2173237.jpg", "Обложка")</f>
        <v>Обложка</v>
      </c>
      <c r="V142" s="24" t="str">
        <f>HYPERLINK("https://znanium.ru/catalog/product/2166195", "Ознакомиться")</f>
        <v>Ознакомиться</v>
      </c>
      <c r="W142" s="8" t="s">
        <v>989</v>
      </c>
      <c r="X142" s="6"/>
      <c r="Y142" s="6"/>
      <c r="Z142" s="6"/>
      <c r="AA142" s="6" t="s">
        <v>277</v>
      </c>
      <c r="AB142" s="8"/>
    </row>
    <row r="143" spans="1:28" s="4" customFormat="1" ht="42" customHeight="1">
      <c r="A143" s="5">
        <v>0</v>
      </c>
      <c r="B143" s="6" t="s">
        <v>990</v>
      </c>
      <c r="C143" s="7">
        <v>2568</v>
      </c>
      <c r="D143" s="8" t="s">
        <v>991</v>
      </c>
      <c r="E143" s="8" t="s">
        <v>992</v>
      </c>
      <c r="F143" s="8" t="s">
        <v>993</v>
      </c>
      <c r="G143" s="6" t="s">
        <v>132</v>
      </c>
      <c r="H143" s="6" t="s">
        <v>39</v>
      </c>
      <c r="I143" s="8" t="s">
        <v>40</v>
      </c>
      <c r="J143" s="9">
        <v>1</v>
      </c>
      <c r="K143" s="9">
        <v>412</v>
      </c>
      <c r="L143" s="9">
        <v>2025</v>
      </c>
      <c r="M143" s="8" t="s">
        <v>994</v>
      </c>
      <c r="N143" s="8" t="s">
        <v>54</v>
      </c>
      <c r="O143" s="8" t="s">
        <v>140</v>
      </c>
      <c r="P143" s="6" t="s">
        <v>44</v>
      </c>
      <c r="Q143" s="8" t="s">
        <v>45</v>
      </c>
      <c r="R143" s="10" t="s">
        <v>995</v>
      </c>
      <c r="S143" s="11"/>
      <c r="T143" s="6"/>
      <c r="U143" s="24" t="str">
        <f>HYPERLINK("https://media.infra-m.ru/2199/2199966/cover/2199966.jpg", "Обложка")</f>
        <v>Обложка</v>
      </c>
      <c r="V143" s="24" t="str">
        <f>HYPERLINK("https://znanium.ru/catalog/product/2199966", "Ознакомиться")</f>
        <v>Ознакомиться</v>
      </c>
      <c r="W143" s="8" t="s">
        <v>996</v>
      </c>
      <c r="X143" s="6"/>
      <c r="Y143" s="6"/>
      <c r="Z143" s="6"/>
      <c r="AA143" s="6" t="s">
        <v>76</v>
      </c>
      <c r="AB143" s="8"/>
    </row>
    <row r="144" spans="1:28" s="4" customFormat="1" ht="42" customHeight="1">
      <c r="A144" s="5">
        <v>0</v>
      </c>
      <c r="B144" s="6" t="s">
        <v>997</v>
      </c>
      <c r="C144" s="7">
        <v>1236</v>
      </c>
      <c r="D144" s="8" t="s">
        <v>998</v>
      </c>
      <c r="E144" s="8" t="s">
        <v>999</v>
      </c>
      <c r="F144" s="8" t="s">
        <v>1000</v>
      </c>
      <c r="G144" s="6" t="s">
        <v>38</v>
      </c>
      <c r="H144" s="6" t="s">
        <v>39</v>
      </c>
      <c r="I144" s="8" t="s">
        <v>40</v>
      </c>
      <c r="J144" s="9">
        <v>1</v>
      </c>
      <c r="K144" s="9">
        <v>186</v>
      </c>
      <c r="L144" s="9">
        <v>2026</v>
      </c>
      <c r="M144" s="8" t="s">
        <v>1001</v>
      </c>
      <c r="N144" s="8" t="s">
        <v>42</v>
      </c>
      <c r="O144" s="8" t="s">
        <v>1002</v>
      </c>
      <c r="P144" s="6" t="s">
        <v>44</v>
      </c>
      <c r="Q144" s="8" t="s">
        <v>45</v>
      </c>
      <c r="R144" s="10" t="s">
        <v>1003</v>
      </c>
      <c r="S144" s="11"/>
      <c r="T144" s="6"/>
      <c r="U144" s="24" t="str">
        <f>HYPERLINK("https://media.infra-m.ru/2143/2143157/cover/2143157.jpg", "Обложка")</f>
        <v>Обложка</v>
      </c>
      <c r="V144" s="24" t="str">
        <f>HYPERLINK("https://znanium.ru/catalog/product/2143157", "Ознакомиться")</f>
        <v>Ознакомиться</v>
      </c>
      <c r="W144" s="8"/>
      <c r="X144" s="6"/>
      <c r="Y144" s="6"/>
      <c r="Z144" s="6"/>
      <c r="AA144" s="6" t="s">
        <v>199</v>
      </c>
      <c r="AB144" s="8"/>
    </row>
    <row r="145" spans="1:28" s="4" customFormat="1" ht="42" customHeight="1">
      <c r="A145" s="5">
        <v>0</v>
      </c>
      <c r="B145" s="6" t="s">
        <v>1004</v>
      </c>
      <c r="C145" s="7">
        <v>1636.8</v>
      </c>
      <c r="D145" s="8" t="s">
        <v>1005</v>
      </c>
      <c r="E145" s="8" t="s">
        <v>1006</v>
      </c>
      <c r="F145" s="8" t="s">
        <v>1007</v>
      </c>
      <c r="G145" s="6" t="s">
        <v>38</v>
      </c>
      <c r="H145" s="6" t="s">
        <v>39</v>
      </c>
      <c r="I145" s="8" t="s">
        <v>40</v>
      </c>
      <c r="J145" s="9">
        <v>1</v>
      </c>
      <c r="K145" s="9">
        <v>257</v>
      </c>
      <c r="L145" s="9">
        <v>2026</v>
      </c>
      <c r="M145" s="8" t="s">
        <v>1008</v>
      </c>
      <c r="N145" s="8" t="s">
        <v>54</v>
      </c>
      <c r="O145" s="8" t="s">
        <v>140</v>
      </c>
      <c r="P145" s="6" t="s">
        <v>44</v>
      </c>
      <c r="Q145" s="8" t="s">
        <v>45</v>
      </c>
      <c r="R145" s="10" t="s">
        <v>1009</v>
      </c>
      <c r="S145" s="11"/>
      <c r="T145" s="6"/>
      <c r="U145" s="24" t="str">
        <f>HYPERLINK("https://media.infra-m.ru/2220/2220326/cover/2220326.jpg", "Обложка")</f>
        <v>Обложка</v>
      </c>
      <c r="V145" s="24" t="str">
        <f>HYPERLINK("https://znanium.ru/catalog/product/1039637", "Ознакомиться")</f>
        <v>Ознакомиться</v>
      </c>
      <c r="W145" s="8" t="s">
        <v>1010</v>
      </c>
      <c r="X145" s="6"/>
      <c r="Y145" s="6"/>
      <c r="Z145" s="6"/>
      <c r="AA145" s="6" t="s">
        <v>177</v>
      </c>
      <c r="AB145" s="8"/>
    </row>
    <row r="146" spans="1:28" s="4" customFormat="1" ht="42" customHeight="1">
      <c r="A146" s="5">
        <v>0</v>
      </c>
      <c r="B146" s="6" t="s">
        <v>1011</v>
      </c>
      <c r="C146" s="13">
        <v>372</v>
      </c>
      <c r="D146" s="8" t="s">
        <v>1012</v>
      </c>
      <c r="E146" s="8" t="s">
        <v>1013</v>
      </c>
      <c r="F146" s="8" t="s">
        <v>1007</v>
      </c>
      <c r="G146" s="6" t="s">
        <v>38</v>
      </c>
      <c r="H146" s="6" t="s">
        <v>39</v>
      </c>
      <c r="I146" s="8" t="s">
        <v>40</v>
      </c>
      <c r="J146" s="9">
        <v>1</v>
      </c>
      <c r="K146" s="9">
        <v>99</v>
      </c>
      <c r="L146" s="9">
        <v>2018</v>
      </c>
      <c r="M146" s="8" t="s">
        <v>1014</v>
      </c>
      <c r="N146" s="8" t="s">
        <v>54</v>
      </c>
      <c r="O146" s="8" t="s">
        <v>140</v>
      </c>
      <c r="P146" s="6" t="s">
        <v>44</v>
      </c>
      <c r="Q146" s="8" t="s">
        <v>45</v>
      </c>
      <c r="R146" s="10" t="s">
        <v>1009</v>
      </c>
      <c r="S146" s="11"/>
      <c r="T146" s="6"/>
      <c r="U146" s="24" t="str">
        <f>HYPERLINK("https://media.infra-m.ru/0962/0962580/cover/962580.jpg", "Обложка")</f>
        <v>Обложка</v>
      </c>
      <c r="V146" s="24" t="str">
        <f>HYPERLINK("https://znanium.ru/catalog/product/1039637", "Ознакомиться")</f>
        <v>Ознакомиться</v>
      </c>
      <c r="W146" s="8" t="s">
        <v>1010</v>
      </c>
      <c r="X146" s="6"/>
      <c r="Y146" s="6"/>
      <c r="Z146" s="6"/>
      <c r="AA146" s="6" t="s">
        <v>68</v>
      </c>
      <c r="AB146" s="8"/>
    </row>
    <row r="147" spans="1:28" s="4" customFormat="1" ht="51.95" customHeight="1">
      <c r="A147" s="5">
        <v>0</v>
      </c>
      <c r="B147" s="6" t="s">
        <v>1015</v>
      </c>
      <c r="C147" s="7">
        <v>1625.9</v>
      </c>
      <c r="D147" s="8" t="s">
        <v>1016</v>
      </c>
      <c r="E147" s="8" t="s">
        <v>1017</v>
      </c>
      <c r="F147" s="8" t="s">
        <v>1018</v>
      </c>
      <c r="G147" s="6" t="s">
        <v>132</v>
      </c>
      <c r="H147" s="6" t="s">
        <v>1019</v>
      </c>
      <c r="I147" s="8" t="s">
        <v>1020</v>
      </c>
      <c r="J147" s="9">
        <v>1</v>
      </c>
      <c r="K147" s="9">
        <v>301</v>
      </c>
      <c r="L147" s="9">
        <v>2023</v>
      </c>
      <c r="M147" s="8" t="s">
        <v>1021</v>
      </c>
      <c r="N147" s="8" t="s">
        <v>42</v>
      </c>
      <c r="O147" s="8" t="s">
        <v>189</v>
      </c>
      <c r="P147" s="6" t="s">
        <v>44</v>
      </c>
      <c r="Q147" s="8" t="s">
        <v>45</v>
      </c>
      <c r="R147" s="10" t="s">
        <v>1022</v>
      </c>
      <c r="S147" s="11"/>
      <c r="T147" s="6"/>
      <c r="U147" s="24" t="str">
        <f>HYPERLINK("https://media.infra-m.ru/1981/1981664/cover/1981664.jpg", "Обложка")</f>
        <v>Обложка</v>
      </c>
      <c r="V147" s="24" t="str">
        <f>HYPERLINK("https://znanium.ru/catalog/product/1012459", "Ознакомиться")</f>
        <v>Ознакомиться</v>
      </c>
      <c r="W147" s="8" t="s">
        <v>167</v>
      </c>
      <c r="X147" s="6"/>
      <c r="Y147" s="6"/>
      <c r="Z147" s="6"/>
      <c r="AA147" s="6" t="s">
        <v>290</v>
      </c>
      <c r="AB147" s="8"/>
    </row>
    <row r="148" spans="1:28" s="4" customFormat="1" ht="42" customHeight="1">
      <c r="A148" s="5">
        <v>0</v>
      </c>
      <c r="B148" s="6" t="s">
        <v>1023</v>
      </c>
      <c r="C148" s="7">
        <v>1396.8</v>
      </c>
      <c r="D148" s="8" t="s">
        <v>1024</v>
      </c>
      <c r="E148" s="8" t="s">
        <v>1025</v>
      </c>
      <c r="F148" s="8" t="s">
        <v>1026</v>
      </c>
      <c r="G148" s="6" t="s">
        <v>81</v>
      </c>
      <c r="H148" s="6" t="s">
        <v>39</v>
      </c>
      <c r="I148" s="8" t="s">
        <v>336</v>
      </c>
      <c r="J148" s="9">
        <v>1</v>
      </c>
      <c r="K148" s="9">
        <v>256</v>
      </c>
      <c r="L148" s="9">
        <v>2023</v>
      </c>
      <c r="M148" s="8" t="s">
        <v>1027</v>
      </c>
      <c r="N148" s="8" t="s">
        <v>42</v>
      </c>
      <c r="O148" s="8" t="s">
        <v>189</v>
      </c>
      <c r="P148" s="6" t="s">
        <v>44</v>
      </c>
      <c r="Q148" s="8" t="s">
        <v>45</v>
      </c>
      <c r="R148" s="10" t="s">
        <v>1028</v>
      </c>
      <c r="S148" s="11"/>
      <c r="T148" s="6"/>
      <c r="U148" s="24" t="str">
        <f>HYPERLINK("https://media.infra-m.ru/2006/2006048/cover/2006048.jpg", "Обложка")</f>
        <v>Обложка</v>
      </c>
      <c r="V148" s="24" t="str">
        <f>HYPERLINK("https://znanium.ru/catalog/product/987222", "Ознакомиться")</f>
        <v>Ознакомиться</v>
      </c>
      <c r="W148" s="8" t="s">
        <v>1029</v>
      </c>
      <c r="X148" s="6"/>
      <c r="Y148" s="6"/>
      <c r="Z148" s="6"/>
      <c r="AA148" s="6" t="s">
        <v>339</v>
      </c>
      <c r="AB148" s="8"/>
    </row>
    <row r="149" spans="1:28" s="4" customFormat="1" ht="44.1" customHeight="1">
      <c r="A149" s="5">
        <v>0</v>
      </c>
      <c r="B149" s="6" t="s">
        <v>1030</v>
      </c>
      <c r="C149" s="13">
        <v>828</v>
      </c>
      <c r="D149" s="8" t="s">
        <v>1031</v>
      </c>
      <c r="E149" s="8" t="s">
        <v>1032</v>
      </c>
      <c r="F149" s="8" t="s">
        <v>1033</v>
      </c>
      <c r="G149" s="6" t="s">
        <v>38</v>
      </c>
      <c r="H149" s="6" t="s">
        <v>39</v>
      </c>
      <c r="I149" s="8" t="s">
        <v>40</v>
      </c>
      <c r="J149" s="9">
        <v>1</v>
      </c>
      <c r="K149" s="9">
        <v>195</v>
      </c>
      <c r="L149" s="9">
        <v>2019</v>
      </c>
      <c r="M149" s="8" t="s">
        <v>1034</v>
      </c>
      <c r="N149" s="8" t="s">
        <v>42</v>
      </c>
      <c r="O149" s="8" t="s">
        <v>1035</v>
      </c>
      <c r="P149" s="6" t="s">
        <v>44</v>
      </c>
      <c r="Q149" s="8" t="s">
        <v>45</v>
      </c>
      <c r="R149" s="10" t="s">
        <v>1036</v>
      </c>
      <c r="S149" s="11"/>
      <c r="T149" s="6"/>
      <c r="U149" s="24" t="str">
        <f>HYPERLINK("https://media.infra-m.ru/1018/1018873/cover/1018873.jpg", "Обложка")</f>
        <v>Обложка</v>
      </c>
      <c r="V149" s="24" t="str">
        <f>HYPERLINK("https://znanium.ru/catalog/product/1018873", "Ознакомиться")</f>
        <v>Ознакомиться</v>
      </c>
      <c r="W149" s="8" t="s">
        <v>207</v>
      </c>
      <c r="X149" s="6"/>
      <c r="Y149" s="6"/>
      <c r="Z149" s="6"/>
      <c r="AA149" s="6" t="s">
        <v>76</v>
      </c>
      <c r="AB149" s="8"/>
    </row>
    <row r="150" spans="1:28" s="4" customFormat="1" ht="51.95" customHeight="1">
      <c r="A150" s="5">
        <v>0</v>
      </c>
      <c r="B150" s="6" t="s">
        <v>1037</v>
      </c>
      <c r="C150" s="13">
        <v>804</v>
      </c>
      <c r="D150" s="8" t="s">
        <v>1038</v>
      </c>
      <c r="E150" s="8" t="s">
        <v>1039</v>
      </c>
      <c r="F150" s="8" t="s">
        <v>1040</v>
      </c>
      <c r="G150" s="6" t="s">
        <v>38</v>
      </c>
      <c r="H150" s="6" t="s">
        <v>39</v>
      </c>
      <c r="I150" s="8" t="s">
        <v>40</v>
      </c>
      <c r="J150" s="9">
        <v>1</v>
      </c>
      <c r="K150" s="9">
        <v>190</v>
      </c>
      <c r="L150" s="9">
        <v>2020</v>
      </c>
      <c r="M150" s="8" t="s">
        <v>1041</v>
      </c>
      <c r="N150" s="8" t="s">
        <v>220</v>
      </c>
      <c r="O150" s="8" t="s">
        <v>296</v>
      </c>
      <c r="P150" s="6" t="s">
        <v>44</v>
      </c>
      <c r="Q150" s="8" t="s">
        <v>45</v>
      </c>
      <c r="R150" s="10" t="s">
        <v>1042</v>
      </c>
      <c r="S150" s="11"/>
      <c r="T150" s="6"/>
      <c r="U150" s="24" t="str">
        <f>HYPERLINK("https://media.infra-m.ru/1080/1080557/cover/1080557.jpg", "Обложка")</f>
        <v>Обложка</v>
      </c>
      <c r="V150" s="24" t="str">
        <f>HYPERLINK("https://znanium.ru/catalog/product/1080557", "Ознакомиться")</f>
        <v>Ознакомиться</v>
      </c>
      <c r="W150" s="8" t="s">
        <v>207</v>
      </c>
      <c r="X150" s="6"/>
      <c r="Y150" s="6"/>
      <c r="Z150" s="6"/>
      <c r="AA150" s="6" t="s">
        <v>290</v>
      </c>
      <c r="AB150" s="8"/>
    </row>
    <row r="151" spans="1:28" s="4" customFormat="1" ht="42" customHeight="1">
      <c r="A151" s="5">
        <v>0</v>
      </c>
      <c r="B151" s="6" t="s">
        <v>1043</v>
      </c>
      <c r="C151" s="7">
        <v>1284</v>
      </c>
      <c r="D151" s="8" t="s">
        <v>1044</v>
      </c>
      <c r="E151" s="8" t="s">
        <v>1045</v>
      </c>
      <c r="F151" s="8" t="s">
        <v>1046</v>
      </c>
      <c r="G151" s="6" t="s">
        <v>38</v>
      </c>
      <c r="H151" s="6" t="s">
        <v>39</v>
      </c>
      <c r="I151" s="8" t="s">
        <v>40</v>
      </c>
      <c r="J151" s="9">
        <v>1</v>
      </c>
      <c r="K151" s="9">
        <v>236</v>
      </c>
      <c r="L151" s="9">
        <v>2023</v>
      </c>
      <c r="M151" s="8" t="s">
        <v>1047</v>
      </c>
      <c r="N151" s="8" t="s">
        <v>42</v>
      </c>
      <c r="O151" s="8" t="s">
        <v>246</v>
      </c>
      <c r="P151" s="6" t="s">
        <v>44</v>
      </c>
      <c r="Q151" s="8" t="s">
        <v>45</v>
      </c>
      <c r="R151" s="10" t="s">
        <v>1048</v>
      </c>
      <c r="S151" s="11"/>
      <c r="T151" s="6"/>
      <c r="U151" s="24" t="str">
        <f>HYPERLINK("https://media.infra-m.ru/1896/1896465/cover/1896465.jpg", "Обложка")</f>
        <v>Обложка</v>
      </c>
      <c r="V151" s="24" t="str">
        <f>HYPERLINK("https://znanium.ru/catalog/product/1896465", "Ознакомиться")</f>
        <v>Ознакомиться</v>
      </c>
      <c r="W151" s="8" t="s">
        <v>1049</v>
      </c>
      <c r="X151" s="6"/>
      <c r="Y151" s="6"/>
      <c r="Z151" s="6"/>
      <c r="AA151" s="6" t="s">
        <v>1050</v>
      </c>
      <c r="AB151" s="8"/>
    </row>
    <row r="152" spans="1:28" s="4" customFormat="1" ht="42" customHeight="1">
      <c r="A152" s="5">
        <v>0</v>
      </c>
      <c r="B152" s="6" t="s">
        <v>1051</v>
      </c>
      <c r="C152" s="7">
        <v>2272.8000000000002</v>
      </c>
      <c r="D152" s="8" t="s">
        <v>1052</v>
      </c>
      <c r="E152" s="8" t="s">
        <v>1053</v>
      </c>
      <c r="F152" s="8" t="s">
        <v>1054</v>
      </c>
      <c r="G152" s="6" t="s">
        <v>81</v>
      </c>
      <c r="H152" s="6" t="s">
        <v>39</v>
      </c>
      <c r="I152" s="8" t="s">
        <v>1055</v>
      </c>
      <c r="J152" s="9">
        <v>1</v>
      </c>
      <c r="K152" s="9">
        <v>358</v>
      </c>
      <c r="L152" s="9">
        <v>2026</v>
      </c>
      <c r="M152" s="8" t="s">
        <v>1056</v>
      </c>
      <c r="N152" s="8" t="s">
        <v>220</v>
      </c>
      <c r="O152" s="8" t="s">
        <v>252</v>
      </c>
      <c r="P152" s="6" t="s">
        <v>1057</v>
      </c>
      <c r="Q152" s="8" t="s">
        <v>1058</v>
      </c>
      <c r="R152" s="10" t="s">
        <v>1059</v>
      </c>
      <c r="S152" s="11"/>
      <c r="T152" s="6"/>
      <c r="U152" s="24" t="str">
        <f>HYPERLINK("https://media.infra-m.ru/2212/2212249/cover/2212249.jpg", "Обложка")</f>
        <v>Обложка</v>
      </c>
      <c r="V152" s="24" t="str">
        <f>HYPERLINK("https://znanium.ru/catalog/product/2230298", "Ознакомиться")</f>
        <v>Ознакомиться</v>
      </c>
      <c r="W152" s="8" t="s">
        <v>1060</v>
      </c>
      <c r="X152" s="6"/>
      <c r="Y152" s="6"/>
      <c r="Z152" s="6"/>
      <c r="AA152" s="6" t="s">
        <v>159</v>
      </c>
      <c r="AB152" s="8"/>
    </row>
    <row r="153" spans="1:28" s="4" customFormat="1" ht="42" customHeight="1">
      <c r="A153" s="5">
        <v>0</v>
      </c>
      <c r="B153" s="6" t="s">
        <v>1061</v>
      </c>
      <c r="C153" s="7">
        <v>1072.8</v>
      </c>
      <c r="D153" s="8" t="s">
        <v>1062</v>
      </c>
      <c r="E153" s="8" t="s">
        <v>1063</v>
      </c>
      <c r="F153" s="8" t="s">
        <v>1064</v>
      </c>
      <c r="G153" s="6" t="s">
        <v>38</v>
      </c>
      <c r="H153" s="6" t="s">
        <v>39</v>
      </c>
      <c r="I153" s="8" t="s">
        <v>40</v>
      </c>
      <c r="J153" s="9">
        <v>1</v>
      </c>
      <c r="K153" s="9">
        <v>171</v>
      </c>
      <c r="L153" s="9">
        <v>2025</v>
      </c>
      <c r="M153" s="8" t="s">
        <v>1065</v>
      </c>
      <c r="N153" s="8" t="s">
        <v>284</v>
      </c>
      <c r="O153" s="8" t="s">
        <v>717</v>
      </c>
      <c r="P153" s="6" t="s">
        <v>44</v>
      </c>
      <c r="Q153" s="8" t="s">
        <v>45</v>
      </c>
      <c r="R153" s="10" t="s">
        <v>1066</v>
      </c>
      <c r="S153" s="11"/>
      <c r="T153" s="6"/>
      <c r="U153" s="24" t="str">
        <f>HYPERLINK("https://media.infra-m.ru/2208/2208735/cover/2208735.jpg", "Обложка")</f>
        <v>Обложка</v>
      </c>
      <c r="V153" s="24" t="str">
        <f>HYPERLINK("https://znanium.ru/catalog/product/2096073", "Ознакомиться")</f>
        <v>Ознакомиться</v>
      </c>
      <c r="W153" s="8" t="s">
        <v>1067</v>
      </c>
      <c r="X153" s="6"/>
      <c r="Y153" s="6"/>
      <c r="Z153" s="6"/>
      <c r="AA153" s="6" t="s">
        <v>111</v>
      </c>
      <c r="AB153" s="8"/>
    </row>
    <row r="154" spans="1:28" s="4" customFormat="1" ht="42" customHeight="1">
      <c r="A154" s="5">
        <v>0</v>
      </c>
      <c r="B154" s="6" t="s">
        <v>1068</v>
      </c>
      <c r="C154" s="7">
        <v>1128</v>
      </c>
      <c r="D154" s="8" t="s">
        <v>1069</v>
      </c>
      <c r="E154" s="8" t="s">
        <v>1070</v>
      </c>
      <c r="F154" s="8" t="s">
        <v>1071</v>
      </c>
      <c r="G154" s="6" t="s">
        <v>38</v>
      </c>
      <c r="H154" s="6" t="s">
        <v>39</v>
      </c>
      <c r="I154" s="8" t="s">
        <v>40</v>
      </c>
      <c r="J154" s="9">
        <v>1</v>
      </c>
      <c r="K154" s="9">
        <v>188</v>
      </c>
      <c r="L154" s="9">
        <v>2024</v>
      </c>
      <c r="M154" s="8" t="s">
        <v>1072</v>
      </c>
      <c r="N154" s="8" t="s">
        <v>220</v>
      </c>
      <c r="O154" s="8" t="s">
        <v>296</v>
      </c>
      <c r="P154" s="6" t="s">
        <v>44</v>
      </c>
      <c r="Q154" s="8" t="s">
        <v>45</v>
      </c>
      <c r="R154" s="10" t="s">
        <v>1073</v>
      </c>
      <c r="S154" s="11"/>
      <c r="T154" s="6"/>
      <c r="U154" s="24" t="str">
        <f>HYPERLINK("https://media.infra-m.ru/2164/2164861/cover/2164861.jpg", "Обложка")</f>
        <v>Обложка</v>
      </c>
      <c r="V154" s="24" t="str">
        <f>HYPERLINK("https://znanium.ru/catalog/product/2164861", "Ознакомиться")</f>
        <v>Ознакомиться</v>
      </c>
      <c r="W154" s="8" t="s">
        <v>1074</v>
      </c>
      <c r="X154" s="6"/>
      <c r="Y154" s="6"/>
      <c r="Z154" s="6"/>
      <c r="AA154" s="6" t="s">
        <v>58</v>
      </c>
      <c r="AB154" s="8"/>
    </row>
    <row r="155" spans="1:28" s="4" customFormat="1" ht="51.95" customHeight="1">
      <c r="A155" s="5">
        <v>0</v>
      </c>
      <c r="B155" s="6" t="s">
        <v>1075</v>
      </c>
      <c r="C155" s="7">
        <v>1248</v>
      </c>
      <c r="D155" s="8" t="s">
        <v>1076</v>
      </c>
      <c r="E155" s="8" t="s">
        <v>1077</v>
      </c>
      <c r="F155" s="8" t="s">
        <v>1078</v>
      </c>
      <c r="G155" s="6" t="s">
        <v>38</v>
      </c>
      <c r="H155" s="6" t="s">
        <v>39</v>
      </c>
      <c r="I155" s="8" t="s">
        <v>40</v>
      </c>
      <c r="J155" s="9">
        <v>1</v>
      </c>
      <c r="K155" s="9">
        <v>207</v>
      </c>
      <c r="L155" s="9">
        <v>2025</v>
      </c>
      <c r="M155" s="8" t="s">
        <v>1079</v>
      </c>
      <c r="N155" s="8" t="s">
        <v>42</v>
      </c>
      <c r="O155" s="8" t="s">
        <v>189</v>
      </c>
      <c r="P155" s="6" t="s">
        <v>44</v>
      </c>
      <c r="Q155" s="8" t="s">
        <v>45</v>
      </c>
      <c r="R155" s="10" t="s">
        <v>797</v>
      </c>
      <c r="S155" s="11"/>
      <c r="T155" s="6" t="s">
        <v>1080</v>
      </c>
      <c r="U155" s="24" t="str">
        <f>HYPERLINK("https://media.infra-m.ru/2162/2162892/cover/2162892.jpg", "Обложка")</f>
        <v>Обложка</v>
      </c>
      <c r="V155" s="24" t="str">
        <f>HYPERLINK("https://znanium.ru/catalog/product/1028965", "Ознакомиться")</f>
        <v>Ознакомиться</v>
      </c>
      <c r="W155" s="8" t="s">
        <v>361</v>
      </c>
      <c r="X155" s="6"/>
      <c r="Y155" s="6"/>
      <c r="Z155" s="6"/>
      <c r="AA155" s="6" t="s">
        <v>127</v>
      </c>
      <c r="AB155" s="8"/>
    </row>
    <row r="156" spans="1:28" s="4" customFormat="1" ht="51.95" customHeight="1">
      <c r="A156" s="5">
        <v>0</v>
      </c>
      <c r="B156" s="6" t="s">
        <v>1081</v>
      </c>
      <c r="C156" s="13">
        <v>540</v>
      </c>
      <c r="D156" s="8" t="s">
        <v>1082</v>
      </c>
      <c r="E156" s="8" t="s">
        <v>1083</v>
      </c>
      <c r="F156" s="8" t="s">
        <v>1084</v>
      </c>
      <c r="G156" s="6" t="s">
        <v>38</v>
      </c>
      <c r="H156" s="6" t="s">
        <v>39</v>
      </c>
      <c r="I156" s="8" t="s">
        <v>40</v>
      </c>
      <c r="J156" s="9">
        <v>1</v>
      </c>
      <c r="K156" s="9">
        <v>100</v>
      </c>
      <c r="L156" s="9">
        <v>2023</v>
      </c>
      <c r="M156" s="8" t="s">
        <v>1085</v>
      </c>
      <c r="N156" s="8" t="s">
        <v>42</v>
      </c>
      <c r="O156" s="8" t="s">
        <v>189</v>
      </c>
      <c r="P156" s="6" t="s">
        <v>44</v>
      </c>
      <c r="Q156" s="8" t="s">
        <v>45</v>
      </c>
      <c r="R156" s="10" t="s">
        <v>1086</v>
      </c>
      <c r="S156" s="11"/>
      <c r="T156" s="6"/>
      <c r="U156" s="24" t="str">
        <f>HYPERLINK("https://media.infra-m.ru/1937/1937993/cover/1937993.jpg", "Обложка")</f>
        <v>Обложка</v>
      </c>
      <c r="V156" s="24" t="str">
        <f>HYPERLINK("https://znanium.ru/catalog/product/1937993", "Ознакомиться")</f>
        <v>Ознакомиться</v>
      </c>
      <c r="W156" s="8" t="s">
        <v>1087</v>
      </c>
      <c r="X156" s="6"/>
      <c r="Y156" s="6"/>
      <c r="Z156" s="6"/>
      <c r="AA156" s="6" t="s">
        <v>127</v>
      </c>
      <c r="AB156" s="8"/>
    </row>
    <row r="157" spans="1:28" s="4" customFormat="1" ht="42" customHeight="1">
      <c r="A157" s="5">
        <v>0</v>
      </c>
      <c r="B157" s="6" t="s">
        <v>1088</v>
      </c>
      <c r="C157" s="7">
        <v>2706</v>
      </c>
      <c r="D157" s="8" t="s">
        <v>1089</v>
      </c>
      <c r="E157" s="8" t="s">
        <v>1090</v>
      </c>
      <c r="F157" s="8"/>
      <c r="G157" s="6" t="s">
        <v>38</v>
      </c>
      <c r="H157" s="6" t="s">
        <v>39</v>
      </c>
      <c r="I157" s="8"/>
      <c r="J157" s="9">
        <v>1</v>
      </c>
      <c r="K157" s="9">
        <v>62</v>
      </c>
      <c r="L157" s="9">
        <v>2024</v>
      </c>
      <c r="M157" s="8"/>
      <c r="N157" s="8" t="s">
        <v>42</v>
      </c>
      <c r="O157" s="8" t="s">
        <v>189</v>
      </c>
      <c r="P157" s="6" t="s">
        <v>183</v>
      </c>
      <c r="Q157" s="8"/>
      <c r="R157" s="10"/>
      <c r="S157" s="11"/>
      <c r="T157" s="6"/>
      <c r="U157" s="24" t="str">
        <f>HYPERLINK("https://media.infra-m.ru/2089/2089357/cover/2089357.jpg", "Обложка")</f>
        <v>Обложка</v>
      </c>
      <c r="V157" s="24" t="str">
        <f>HYPERLINK("https://znanium.ru/catalog/product/2174179", "Ознакомиться")</f>
        <v>Ознакомиться</v>
      </c>
      <c r="W157" s="8"/>
      <c r="X157" s="6"/>
      <c r="Y157" s="6"/>
      <c r="Z157" s="6"/>
      <c r="AA157" s="6" t="s">
        <v>377</v>
      </c>
      <c r="AB157" s="8"/>
    </row>
    <row r="158" spans="1:28" s="4" customFormat="1" ht="42" customHeight="1">
      <c r="A158" s="5">
        <v>0</v>
      </c>
      <c r="B158" s="6" t="s">
        <v>1091</v>
      </c>
      <c r="C158" s="7">
        <v>2706</v>
      </c>
      <c r="D158" s="8" t="s">
        <v>1092</v>
      </c>
      <c r="E158" s="8" t="s">
        <v>1093</v>
      </c>
      <c r="F158" s="8"/>
      <c r="G158" s="6" t="s">
        <v>38</v>
      </c>
      <c r="H158" s="6" t="s">
        <v>39</v>
      </c>
      <c r="I158" s="8"/>
      <c r="J158" s="9">
        <v>1</v>
      </c>
      <c r="K158" s="9">
        <v>64</v>
      </c>
      <c r="L158" s="9">
        <v>2025</v>
      </c>
      <c r="M158" s="8"/>
      <c r="N158" s="8" t="s">
        <v>42</v>
      </c>
      <c r="O158" s="8" t="s">
        <v>189</v>
      </c>
      <c r="P158" s="6" t="s">
        <v>183</v>
      </c>
      <c r="Q158" s="8"/>
      <c r="R158" s="10"/>
      <c r="S158" s="11"/>
      <c r="T158" s="6"/>
      <c r="U158" s="24" t="str">
        <f>HYPERLINK("https://media.infra-m.ru/2174/2174179/cover/2174179.jpg", "Обложка")</f>
        <v>Обложка</v>
      </c>
      <c r="V158" s="24" t="str">
        <f>HYPERLINK("https://znanium.ru/catalog/product/2174179", "Ознакомиться")</f>
        <v>Ознакомиться</v>
      </c>
      <c r="W158" s="8"/>
      <c r="X158" s="6" t="s">
        <v>1094</v>
      </c>
      <c r="Y158" s="6"/>
      <c r="Z158" s="6"/>
      <c r="AA158" s="6" t="s">
        <v>58</v>
      </c>
      <c r="AB158" s="8"/>
    </row>
    <row r="159" spans="1:28" s="4" customFormat="1" ht="42" customHeight="1">
      <c r="A159" s="5">
        <v>0</v>
      </c>
      <c r="B159" s="6" t="s">
        <v>1095</v>
      </c>
      <c r="C159" s="7">
        <v>1140</v>
      </c>
      <c r="D159" s="8" t="s">
        <v>1096</v>
      </c>
      <c r="E159" s="8" t="s">
        <v>1097</v>
      </c>
      <c r="F159" s="8" t="s">
        <v>1098</v>
      </c>
      <c r="G159" s="6" t="s">
        <v>132</v>
      </c>
      <c r="H159" s="6" t="s">
        <v>39</v>
      </c>
      <c r="I159" s="8" t="s">
        <v>40</v>
      </c>
      <c r="J159" s="9">
        <v>1</v>
      </c>
      <c r="K159" s="9">
        <v>184</v>
      </c>
      <c r="L159" s="9">
        <v>2025</v>
      </c>
      <c r="M159" s="8" t="s">
        <v>1099</v>
      </c>
      <c r="N159" s="8" t="s">
        <v>42</v>
      </c>
      <c r="O159" s="8" t="s">
        <v>189</v>
      </c>
      <c r="P159" s="6" t="s">
        <v>44</v>
      </c>
      <c r="Q159" s="8" t="s">
        <v>45</v>
      </c>
      <c r="R159" s="10" t="s">
        <v>1100</v>
      </c>
      <c r="S159" s="11"/>
      <c r="T159" s="6"/>
      <c r="U159" s="24" t="str">
        <f>HYPERLINK("https://media.infra-m.ru/2145/2145829/cover/2145829.jpg", "Обложка")</f>
        <v>Обложка</v>
      </c>
      <c r="V159" s="24" t="str">
        <f>HYPERLINK("https://znanium.ru/catalog/product/2145829", "Ознакомиться")</f>
        <v>Ознакомиться</v>
      </c>
      <c r="W159" s="8" t="s">
        <v>207</v>
      </c>
      <c r="X159" s="6" t="s">
        <v>306</v>
      </c>
      <c r="Y159" s="6"/>
      <c r="Z159" s="6"/>
      <c r="AA159" s="6" t="s">
        <v>159</v>
      </c>
      <c r="AB159" s="8" t="s">
        <v>1101</v>
      </c>
    </row>
    <row r="160" spans="1:28" s="4" customFormat="1" ht="51.95" customHeight="1">
      <c r="A160" s="5">
        <v>0</v>
      </c>
      <c r="B160" s="6" t="s">
        <v>1102</v>
      </c>
      <c r="C160" s="13">
        <v>720</v>
      </c>
      <c r="D160" s="8" t="s">
        <v>1103</v>
      </c>
      <c r="E160" s="8" t="s">
        <v>1104</v>
      </c>
      <c r="F160" s="8" t="s">
        <v>1105</v>
      </c>
      <c r="G160" s="6" t="s">
        <v>132</v>
      </c>
      <c r="H160" s="6" t="s">
        <v>39</v>
      </c>
      <c r="I160" s="8"/>
      <c r="J160" s="9">
        <v>1</v>
      </c>
      <c r="K160" s="9">
        <v>153</v>
      </c>
      <c r="L160" s="9">
        <v>2024</v>
      </c>
      <c r="M160" s="8" t="s">
        <v>1106</v>
      </c>
      <c r="N160" s="8" t="s">
        <v>42</v>
      </c>
      <c r="O160" s="8" t="s">
        <v>65</v>
      </c>
      <c r="P160" s="6" t="s">
        <v>44</v>
      </c>
      <c r="Q160" s="8" t="s">
        <v>45</v>
      </c>
      <c r="R160" s="10" t="s">
        <v>1107</v>
      </c>
      <c r="S160" s="11"/>
      <c r="T160" s="6"/>
      <c r="U160" s="24" t="str">
        <f>HYPERLINK("https://media.infra-m.ru/2176/2176065/cover/2176065.jpg", "Обложка")</f>
        <v>Обложка</v>
      </c>
      <c r="V160" s="12"/>
      <c r="W160" s="8" t="s">
        <v>305</v>
      </c>
      <c r="X160" s="6"/>
      <c r="Y160" s="6"/>
      <c r="Z160" s="6"/>
      <c r="AA160" s="6" t="s">
        <v>58</v>
      </c>
      <c r="AB160" s="8"/>
    </row>
    <row r="161" spans="1:28" s="4" customFormat="1" ht="51.95" customHeight="1">
      <c r="A161" s="5">
        <v>0</v>
      </c>
      <c r="B161" s="6" t="s">
        <v>1108</v>
      </c>
      <c r="C161" s="7">
        <v>1024.8</v>
      </c>
      <c r="D161" s="8" t="s">
        <v>1109</v>
      </c>
      <c r="E161" s="8" t="s">
        <v>1110</v>
      </c>
      <c r="F161" s="8" t="s">
        <v>703</v>
      </c>
      <c r="G161" s="6" t="s">
        <v>81</v>
      </c>
      <c r="H161" s="6" t="s">
        <v>39</v>
      </c>
      <c r="I161" s="8" t="s">
        <v>40</v>
      </c>
      <c r="J161" s="9">
        <v>1</v>
      </c>
      <c r="K161" s="9">
        <v>187</v>
      </c>
      <c r="L161" s="9">
        <v>2023</v>
      </c>
      <c r="M161" s="8" t="s">
        <v>1111</v>
      </c>
      <c r="N161" s="8" t="s">
        <v>54</v>
      </c>
      <c r="O161" s="8" t="s">
        <v>55</v>
      </c>
      <c r="P161" s="6" t="s">
        <v>44</v>
      </c>
      <c r="Q161" s="8" t="s">
        <v>287</v>
      </c>
      <c r="R161" s="10" t="s">
        <v>1112</v>
      </c>
      <c r="S161" s="11"/>
      <c r="T161" s="6"/>
      <c r="U161" s="24" t="str">
        <f>HYPERLINK("https://media.infra-m.ru/2006/2006083/cover/2006083.jpg", "Обложка")</f>
        <v>Обложка</v>
      </c>
      <c r="V161" s="24" t="str">
        <f>HYPERLINK("https://znanium.ru/catalog/product/1541979", "Ознакомиться")</f>
        <v>Ознакомиться</v>
      </c>
      <c r="W161" s="8" t="s">
        <v>535</v>
      </c>
      <c r="X161" s="6"/>
      <c r="Y161" s="6"/>
      <c r="Z161" s="6"/>
      <c r="AA161" s="6" t="s">
        <v>369</v>
      </c>
      <c r="AB161" s="8"/>
    </row>
    <row r="162" spans="1:28" s="4" customFormat="1" ht="42" customHeight="1">
      <c r="A162" s="5">
        <v>0</v>
      </c>
      <c r="B162" s="6" t="s">
        <v>1113</v>
      </c>
      <c r="C162" s="7">
        <v>1296</v>
      </c>
      <c r="D162" s="8" t="s">
        <v>1114</v>
      </c>
      <c r="E162" s="8" t="s">
        <v>1115</v>
      </c>
      <c r="F162" s="8" t="s">
        <v>1116</v>
      </c>
      <c r="G162" s="6" t="s">
        <v>38</v>
      </c>
      <c r="H162" s="6" t="s">
        <v>39</v>
      </c>
      <c r="I162" s="8" t="s">
        <v>40</v>
      </c>
      <c r="J162" s="9">
        <v>1</v>
      </c>
      <c r="K162" s="9">
        <v>230</v>
      </c>
      <c r="L162" s="9">
        <v>2024</v>
      </c>
      <c r="M162" s="8" t="s">
        <v>1117</v>
      </c>
      <c r="N162" s="8" t="s">
        <v>284</v>
      </c>
      <c r="O162" s="8" t="s">
        <v>285</v>
      </c>
      <c r="P162" s="6" t="s">
        <v>44</v>
      </c>
      <c r="Q162" s="8" t="s">
        <v>45</v>
      </c>
      <c r="R162" s="10" t="s">
        <v>1118</v>
      </c>
      <c r="S162" s="11"/>
      <c r="T162" s="6"/>
      <c r="U162" s="24" t="str">
        <f>HYPERLINK("https://media.infra-m.ru/2083/2083787/cover/2083787.jpg", "Обложка")</f>
        <v>Обложка</v>
      </c>
      <c r="V162" s="24" t="str">
        <f>HYPERLINK("https://znanium.ru/catalog/product/2083787", "Ознакомиться")</f>
        <v>Ознакомиться</v>
      </c>
      <c r="W162" s="8" t="s">
        <v>1119</v>
      </c>
      <c r="X162" s="6"/>
      <c r="Y162" s="6"/>
      <c r="Z162" s="6"/>
      <c r="AA162" s="6" t="s">
        <v>892</v>
      </c>
      <c r="AB162" s="8"/>
    </row>
    <row r="163" spans="1:28" s="4" customFormat="1" ht="44.1" customHeight="1">
      <c r="A163" s="5">
        <v>0</v>
      </c>
      <c r="B163" s="6" t="s">
        <v>1120</v>
      </c>
      <c r="C163" s="13">
        <v>804</v>
      </c>
      <c r="D163" s="8" t="s">
        <v>1121</v>
      </c>
      <c r="E163" s="8" t="s">
        <v>1122</v>
      </c>
      <c r="F163" s="8" t="s">
        <v>1123</v>
      </c>
      <c r="G163" s="6" t="s">
        <v>38</v>
      </c>
      <c r="H163" s="6" t="s">
        <v>39</v>
      </c>
      <c r="I163" s="8" t="s">
        <v>40</v>
      </c>
      <c r="J163" s="9">
        <v>1</v>
      </c>
      <c r="K163" s="9">
        <v>125</v>
      </c>
      <c r="L163" s="9">
        <v>2025</v>
      </c>
      <c r="M163" s="8" t="s">
        <v>1124</v>
      </c>
      <c r="N163" s="8" t="s">
        <v>42</v>
      </c>
      <c r="O163" s="8" t="s">
        <v>246</v>
      </c>
      <c r="P163" s="6" t="s">
        <v>44</v>
      </c>
      <c r="Q163" s="8" t="s">
        <v>45</v>
      </c>
      <c r="R163" s="10" t="s">
        <v>1125</v>
      </c>
      <c r="S163" s="11"/>
      <c r="T163" s="6"/>
      <c r="U163" s="24" t="str">
        <f>HYPERLINK("https://media.infra-m.ru/2208/2208464/cover/2208464.jpg", "Обложка")</f>
        <v>Обложка</v>
      </c>
      <c r="V163" s="24" t="str">
        <f>HYPERLINK("https://znanium.ru/catalog/product/2208464", "Ознакомиться")</f>
        <v>Ознакомиться</v>
      </c>
      <c r="W163" s="8" t="s">
        <v>1126</v>
      </c>
      <c r="X163" s="6"/>
      <c r="Y163" s="6"/>
      <c r="Z163" s="6"/>
      <c r="AA163" s="6" t="s">
        <v>127</v>
      </c>
      <c r="AB163" s="8"/>
    </row>
    <row r="164" spans="1:28" s="4" customFormat="1" ht="42" customHeight="1">
      <c r="A164" s="5">
        <v>0</v>
      </c>
      <c r="B164" s="6" t="s">
        <v>1127</v>
      </c>
      <c r="C164" s="13">
        <v>840</v>
      </c>
      <c r="D164" s="8" t="s">
        <v>1128</v>
      </c>
      <c r="E164" s="8" t="s">
        <v>1129</v>
      </c>
      <c r="F164" s="8" t="s">
        <v>697</v>
      </c>
      <c r="G164" s="6" t="s">
        <v>38</v>
      </c>
      <c r="H164" s="6" t="s">
        <v>39</v>
      </c>
      <c r="I164" s="8" t="s">
        <v>40</v>
      </c>
      <c r="J164" s="9">
        <v>1</v>
      </c>
      <c r="K164" s="9">
        <v>155</v>
      </c>
      <c r="L164" s="9">
        <v>2023</v>
      </c>
      <c r="M164" s="8" t="s">
        <v>1130</v>
      </c>
      <c r="N164" s="8" t="s">
        <v>54</v>
      </c>
      <c r="O164" s="8" t="s">
        <v>91</v>
      </c>
      <c r="P164" s="6" t="s">
        <v>44</v>
      </c>
      <c r="Q164" s="8" t="s">
        <v>45</v>
      </c>
      <c r="R164" s="10" t="s">
        <v>1131</v>
      </c>
      <c r="S164" s="11"/>
      <c r="T164" s="6"/>
      <c r="U164" s="24" t="str">
        <f>HYPERLINK("https://media.infra-m.ru/1873/1873769/cover/1873769.jpg", "Обложка")</f>
        <v>Обложка</v>
      </c>
      <c r="V164" s="24" t="str">
        <f>HYPERLINK("https://znanium.ru/catalog/product/1873769", "Ознакомиться")</f>
        <v>Ознакомиться</v>
      </c>
      <c r="W164" s="8" t="s">
        <v>699</v>
      </c>
      <c r="X164" s="6"/>
      <c r="Y164" s="6"/>
      <c r="Z164" s="6"/>
      <c r="AA164" s="6" t="s">
        <v>76</v>
      </c>
      <c r="AB164" s="8"/>
    </row>
    <row r="165" spans="1:28" s="4" customFormat="1" ht="44.1" customHeight="1">
      <c r="A165" s="5">
        <v>0</v>
      </c>
      <c r="B165" s="6" t="s">
        <v>1132</v>
      </c>
      <c r="C165" s="13">
        <v>904.8</v>
      </c>
      <c r="D165" s="8" t="s">
        <v>1133</v>
      </c>
      <c r="E165" s="8" t="s">
        <v>1134</v>
      </c>
      <c r="F165" s="8" t="s">
        <v>1135</v>
      </c>
      <c r="G165" s="6" t="s">
        <v>38</v>
      </c>
      <c r="H165" s="6" t="s">
        <v>39</v>
      </c>
      <c r="I165" s="8" t="s">
        <v>40</v>
      </c>
      <c r="J165" s="9">
        <v>1</v>
      </c>
      <c r="K165" s="9">
        <v>160</v>
      </c>
      <c r="L165" s="9">
        <v>2024</v>
      </c>
      <c r="M165" s="8" t="s">
        <v>1136</v>
      </c>
      <c r="N165" s="8" t="s">
        <v>42</v>
      </c>
      <c r="O165" s="8" t="s">
        <v>189</v>
      </c>
      <c r="P165" s="6" t="s">
        <v>44</v>
      </c>
      <c r="Q165" s="8" t="s">
        <v>45</v>
      </c>
      <c r="R165" s="10" t="s">
        <v>1137</v>
      </c>
      <c r="S165" s="11"/>
      <c r="T165" s="6"/>
      <c r="U165" s="24" t="str">
        <f>HYPERLINK("https://media.infra-m.ru/2149/2149182/cover/2149182.jpg", "Обложка")</f>
        <v>Обложка</v>
      </c>
      <c r="V165" s="24" t="str">
        <f>HYPERLINK("https://znanium.ru/catalog/product/994352", "Ознакомиться")</f>
        <v>Ознакомиться</v>
      </c>
      <c r="W165" s="8" t="s">
        <v>1138</v>
      </c>
      <c r="X165" s="6"/>
      <c r="Y165" s="6"/>
      <c r="Z165" s="6"/>
      <c r="AA165" s="6" t="s">
        <v>339</v>
      </c>
      <c r="AB165" s="8"/>
    </row>
    <row r="166" spans="1:28" s="4" customFormat="1" ht="42" customHeight="1">
      <c r="A166" s="5">
        <v>0</v>
      </c>
      <c r="B166" s="6" t="s">
        <v>1139</v>
      </c>
      <c r="C166" s="7">
        <v>1792.8</v>
      </c>
      <c r="D166" s="8" t="s">
        <v>1140</v>
      </c>
      <c r="E166" s="8" t="s">
        <v>1141</v>
      </c>
      <c r="F166" s="8" t="s">
        <v>1135</v>
      </c>
      <c r="G166" s="6" t="s">
        <v>132</v>
      </c>
      <c r="H166" s="6" t="s">
        <v>39</v>
      </c>
      <c r="I166" s="8"/>
      <c r="J166" s="9">
        <v>1</v>
      </c>
      <c r="K166" s="9">
        <v>286</v>
      </c>
      <c r="L166" s="9">
        <v>2025</v>
      </c>
      <c r="M166" s="8" t="s">
        <v>1142</v>
      </c>
      <c r="N166" s="8" t="s">
        <v>42</v>
      </c>
      <c r="O166" s="8" t="s">
        <v>189</v>
      </c>
      <c r="P166" s="6" t="s">
        <v>44</v>
      </c>
      <c r="Q166" s="8" t="s">
        <v>45</v>
      </c>
      <c r="R166" s="10" t="s">
        <v>573</v>
      </c>
      <c r="S166" s="11"/>
      <c r="T166" s="6"/>
      <c r="U166" s="24" t="str">
        <f>HYPERLINK("https://media.infra-m.ru/2200/2200950/cover/2200950.jpg", "Обложка")</f>
        <v>Обложка</v>
      </c>
      <c r="V166" s="24" t="str">
        <f>HYPERLINK("https://znanium.ru/catalog/product/1088282", "Ознакомиться")</f>
        <v>Ознакомиться</v>
      </c>
      <c r="W166" s="8" t="s">
        <v>1138</v>
      </c>
      <c r="X166" s="6"/>
      <c r="Y166" s="6"/>
      <c r="Z166" s="6"/>
      <c r="AA166" s="6" t="s">
        <v>1050</v>
      </c>
      <c r="AB166" s="8"/>
    </row>
    <row r="167" spans="1:28" s="4" customFormat="1" ht="42" customHeight="1">
      <c r="A167" s="5">
        <v>0</v>
      </c>
      <c r="B167" s="6" t="s">
        <v>1143</v>
      </c>
      <c r="C167" s="7">
        <v>2092.8000000000002</v>
      </c>
      <c r="D167" s="8" t="s">
        <v>1144</v>
      </c>
      <c r="E167" s="8" t="s">
        <v>1145</v>
      </c>
      <c r="F167" s="8" t="s">
        <v>1135</v>
      </c>
      <c r="G167" s="6" t="s">
        <v>81</v>
      </c>
      <c r="H167" s="6" t="s">
        <v>39</v>
      </c>
      <c r="I167" s="8"/>
      <c r="J167" s="9">
        <v>1</v>
      </c>
      <c r="K167" s="9">
        <v>336</v>
      </c>
      <c r="L167" s="9">
        <v>2026</v>
      </c>
      <c r="M167" s="8" t="s">
        <v>1146</v>
      </c>
      <c r="N167" s="8" t="s">
        <v>42</v>
      </c>
      <c r="O167" s="8" t="s">
        <v>189</v>
      </c>
      <c r="P167" s="6" t="s">
        <v>44</v>
      </c>
      <c r="Q167" s="8" t="s">
        <v>45</v>
      </c>
      <c r="R167" s="10" t="s">
        <v>573</v>
      </c>
      <c r="S167" s="11"/>
      <c r="T167" s="6"/>
      <c r="U167" s="24" t="str">
        <f>HYPERLINK("https://media.infra-m.ru/2207/2207395/cover/2207395.jpg", "Обложка")</f>
        <v>Обложка</v>
      </c>
      <c r="V167" s="24" t="str">
        <f>HYPERLINK("https://znanium.ru/catalog/product/1996441", "Ознакомиться")</f>
        <v>Ознакомиться</v>
      </c>
      <c r="W167" s="8" t="s">
        <v>1138</v>
      </c>
      <c r="X167" s="6"/>
      <c r="Y167" s="6"/>
      <c r="Z167" s="6"/>
      <c r="AA167" s="6" t="s">
        <v>1050</v>
      </c>
      <c r="AB167" s="8"/>
    </row>
    <row r="168" spans="1:28" s="4" customFormat="1" ht="51.95" customHeight="1">
      <c r="A168" s="5">
        <v>0</v>
      </c>
      <c r="B168" s="6" t="s">
        <v>1147</v>
      </c>
      <c r="C168" s="7">
        <v>1312.8</v>
      </c>
      <c r="D168" s="8" t="s">
        <v>1148</v>
      </c>
      <c r="E168" s="8" t="s">
        <v>1149</v>
      </c>
      <c r="F168" s="8" t="s">
        <v>1150</v>
      </c>
      <c r="G168" s="6" t="s">
        <v>38</v>
      </c>
      <c r="H168" s="6" t="s">
        <v>571</v>
      </c>
      <c r="I168" s="8"/>
      <c r="J168" s="9">
        <v>1</v>
      </c>
      <c r="K168" s="9">
        <v>208</v>
      </c>
      <c r="L168" s="9">
        <v>2026</v>
      </c>
      <c r="M168" s="8" t="s">
        <v>1151</v>
      </c>
      <c r="N168" s="8" t="s">
        <v>42</v>
      </c>
      <c r="O168" s="8" t="s">
        <v>189</v>
      </c>
      <c r="P168" s="6" t="s">
        <v>44</v>
      </c>
      <c r="Q168" s="8" t="s">
        <v>1152</v>
      </c>
      <c r="R168" s="10" t="s">
        <v>1153</v>
      </c>
      <c r="S168" s="11"/>
      <c r="T168" s="6"/>
      <c r="U168" s="24" t="str">
        <f>HYPERLINK("https://media.infra-m.ru/2196/2196884/cover/2196884.jpg", "Обложка")</f>
        <v>Обложка</v>
      </c>
      <c r="V168" s="24" t="str">
        <f>HYPERLINK("https://znanium.ru/catalog/product/1971049", "Ознакомиться")</f>
        <v>Ознакомиться</v>
      </c>
      <c r="W168" s="8" t="s">
        <v>167</v>
      </c>
      <c r="X168" s="6"/>
      <c r="Y168" s="6"/>
      <c r="Z168" s="6"/>
      <c r="AA168" s="6" t="s">
        <v>1154</v>
      </c>
      <c r="AB168" s="8"/>
    </row>
    <row r="169" spans="1:28" s="4" customFormat="1" ht="44.1" customHeight="1">
      <c r="A169" s="5">
        <v>0</v>
      </c>
      <c r="B169" s="6" t="s">
        <v>1155</v>
      </c>
      <c r="C169" s="13">
        <v>840</v>
      </c>
      <c r="D169" s="8" t="s">
        <v>1156</v>
      </c>
      <c r="E169" s="8" t="s">
        <v>1157</v>
      </c>
      <c r="F169" s="8" t="s">
        <v>1158</v>
      </c>
      <c r="G169" s="6" t="s">
        <v>38</v>
      </c>
      <c r="H169" s="6" t="s">
        <v>39</v>
      </c>
      <c r="I169" s="8" t="s">
        <v>40</v>
      </c>
      <c r="J169" s="9">
        <v>1</v>
      </c>
      <c r="K169" s="9">
        <v>152</v>
      </c>
      <c r="L169" s="9">
        <v>2024</v>
      </c>
      <c r="M169" s="8" t="s">
        <v>1159</v>
      </c>
      <c r="N169" s="8" t="s">
        <v>284</v>
      </c>
      <c r="O169" s="8" t="s">
        <v>717</v>
      </c>
      <c r="P169" s="6" t="s">
        <v>44</v>
      </c>
      <c r="Q169" s="8" t="s">
        <v>45</v>
      </c>
      <c r="R169" s="10" t="s">
        <v>1160</v>
      </c>
      <c r="S169" s="11"/>
      <c r="T169" s="6"/>
      <c r="U169" s="24" t="str">
        <f>HYPERLINK("https://media.infra-m.ru/2053/2053191/cover/2053191.jpg", "Обложка")</f>
        <v>Обложка</v>
      </c>
      <c r="V169" s="24" t="str">
        <f>HYPERLINK("https://znanium.ru/catalog/product/2053191", "Ознакомиться")</f>
        <v>Ознакомиться</v>
      </c>
      <c r="W169" s="8" t="s">
        <v>971</v>
      </c>
      <c r="X169" s="6"/>
      <c r="Y169" s="6"/>
      <c r="Z169" s="6"/>
      <c r="AA169" s="6" t="s">
        <v>111</v>
      </c>
      <c r="AB169" s="8"/>
    </row>
    <row r="170" spans="1:28" s="4" customFormat="1" ht="51.95" customHeight="1">
      <c r="A170" s="5">
        <v>0</v>
      </c>
      <c r="B170" s="6" t="s">
        <v>1161</v>
      </c>
      <c r="C170" s="7">
        <v>1795.2</v>
      </c>
      <c r="D170" s="8" t="s">
        <v>1162</v>
      </c>
      <c r="E170" s="8" t="s">
        <v>1163</v>
      </c>
      <c r="F170" s="8"/>
      <c r="G170" s="6" t="s">
        <v>38</v>
      </c>
      <c r="H170" s="6" t="s">
        <v>39</v>
      </c>
      <c r="I170" s="8"/>
      <c r="J170" s="9">
        <v>1</v>
      </c>
      <c r="K170" s="9">
        <v>68</v>
      </c>
      <c r="L170" s="9">
        <v>2020</v>
      </c>
      <c r="M170" s="8"/>
      <c r="N170" s="8" t="s">
        <v>220</v>
      </c>
      <c r="O170" s="8" t="s">
        <v>296</v>
      </c>
      <c r="P170" s="6" t="s">
        <v>183</v>
      </c>
      <c r="Q170" s="8" t="s">
        <v>45</v>
      </c>
      <c r="R170" s="10" t="s">
        <v>1164</v>
      </c>
      <c r="S170" s="11"/>
      <c r="T170" s="6"/>
      <c r="U170" s="24" t="str">
        <f>HYPERLINK("https://media.infra-m.ru/1176/1176842/cover/1176842.jpg", "Обложка")</f>
        <v>Обложка</v>
      </c>
      <c r="V170" s="24" t="str">
        <f>HYPERLINK("https://znanium.ru/catalog/product/501724", "Ознакомиться")</f>
        <v>Ознакомиться</v>
      </c>
      <c r="W170" s="8"/>
      <c r="X170" s="6"/>
      <c r="Y170" s="6"/>
      <c r="Z170" s="6"/>
      <c r="AA170" s="6"/>
      <c r="AB170" s="8"/>
    </row>
    <row r="171" spans="1:28" s="4" customFormat="1" ht="42" customHeight="1">
      <c r="A171" s="5">
        <v>0</v>
      </c>
      <c r="B171" s="6" t="s">
        <v>1165</v>
      </c>
      <c r="C171" s="13">
        <v>796.8</v>
      </c>
      <c r="D171" s="8" t="s">
        <v>1166</v>
      </c>
      <c r="E171" s="8" t="s">
        <v>1167</v>
      </c>
      <c r="F171" s="8" t="s">
        <v>480</v>
      </c>
      <c r="G171" s="6" t="s">
        <v>38</v>
      </c>
      <c r="H171" s="6" t="s">
        <v>39</v>
      </c>
      <c r="I171" s="8" t="s">
        <v>40</v>
      </c>
      <c r="J171" s="9">
        <v>1</v>
      </c>
      <c r="K171" s="9">
        <v>145</v>
      </c>
      <c r="L171" s="9">
        <v>2023</v>
      </c>
      <c r="M171" s="8" t="s">
        <v>1168</v>
      </c>
      <c r="N171" s="8" t="s">
        <v>284</v>
      </c>
      <c r="O171" s="8" t="s">
        <v>285</v>
      </c>
      <c r="P171" s="6" t="s">
        <v>44</v>
      </c>
      <c r="Q171" s="8" t="s">
        <v>45</v>
      </c>
      <c r="R171" s="10" t="s">
        <v>1169</v>
      </c>
      <c r="S171" s="11"/>
      <c r="T171" s="6"/>
      <c r="U171" s="24" t="str">
        <f>HYPERLINK("https://media.infra-m.ru/2006/2006930/cover/2006930.jpg", "Обложка")</f>
        <v>Обложка</v>
      </c>
      <c r="V171" s="24" t="str">
        <f>HYPERLINK("https://znanium.ru/catalog/product/953347", "Ознакомиться")</f>
        <v>Ознакомиться</v>
      </c>
      <c r="W171" s="8" t="s">
        <v>484</v>
      </c>
      <c r="X171" s="6"/>
      <c r="Y171" s="6"/>
      <c r="Z171" s="6"/>
      <c r="AA171" s="6" t="s">
        <v>68</v>
      </c>
      <c r="AB171" s="8"/>
    </row>
    <row r="172" spans="1:28" s="4" customFormat="1" ht="51.95" customHeight="1">
      <c r="A172" s="5">
        <v>0</v>
      </c>
      <c r="B172" s="6" t="s">
        <v>1170</v>
      </c>
      <c r="C172" s="7">
        <v>1288.8</v>
      </c>
      <c r="D172" s="8" t="s">
        <v>1171</v>
      </c>
      <c r="E172" s="8" t="s">
        <v>1172</v>
      </c>
      <c r="F172" s="8" t="s">
        <v>1173</v>
      </c>
      <c r="G172" s="6" t="s">
        <v>38</v>
      </c>
      <c r="H172" s="6" t="s">
        <v>39</v>
      </c>
      <c r="I172" s="8" t="s">
        <v>40</v>
      </c>
      <c r="J172" s="9">
        <v>1</v>
      </c>
      <c r="K172" s="9">
        <v>218</v>
      </c>
      <c r="L172" s="9">
        <v>2024</v>
      </c>
      <c r="M172" s="8" t="s">
        <v>1174</v>
      </c>
      <c r="N172" s="8" t="s">
        <v>42</v>
      </c>
      <c r="O172" s="8" t="s">
        <v>65</v>
      </c>
      <c r="P172" s="6" t="s">
        <v>44</v>
      </c>
      <c r="Q172" s="8" t="s">
        <v>45</v>
      </c>
      <c r="R172" s="10" t="s">
        <v>1175</v>
      </c>
      <c r="S172" s="11"/>
      <c r="T172" s="6"/>
      <c r="U172" s="24" t="str">
        <f>HYPERLINK("https://media.infra-m.ru/2156/2156910/cover/2156910.jpg", "Обложка")</f>
        <v>Обложка</v>
      </c>
      <c r="V172" s="24" t="str">
        <f>HYPERLINK("https://znanium.ru/catalog/product/2135239", "Ознакомиться")</f>
        <v>Ознакомиться</v>
      </c>
      <c r="W172" s="8"/>
      <c r="X172" s="6"/>
      <c r="Y172" s="6"/>
      <c r="Z172" s="6"/>
      <c r="AA172" s="6" t="s">
        <v>119</v>
      </c>
      <c r="AB172" s="8"/>
    </row>
    <row r="173" spans="1:28" s="4" customFormat="1" ht="51.95" customHeight="1">
      <c r="A173" s="5">
        <v>0</v>
      </c>
      <c r="B173" s="6" t="s">
        <v>1176</v>
      </c>
      <c r="C173" s="7">
        <v>1344</v>
      </c>
      <c r="D173" s="8" t="s">
        <v>1177</v>
      </c>
      <c r="E173" s="8" t="s">
        <v>1178</v>
      </c>
      <c r="F173" s="8" t="s">
        <v>1179</v>
      </c>
      <c r="G173" s="6" t="s">
        <v>38</v>
      </c>
      <c r="H173" s="6" t="s">
        <v>39</v>
      </c>
      <c r="I173" s="8" t="s">
        <v>40</v>
      </c>
      <c r="J173" s="9">
        <v>1</v>
      </c>
      <c r="K173" s="9">
        <v>180</v>
      </c>
      <c r="L173" s="9">
        <v>2025</v>
      </c>
      <c r="M173" s="8" t="s">
        <v>1180</v>
      </c>
      <c r="N173" s="8" t="s">
        <v>284</v>
      </c>
      <c r="O173" s="8" t="s">
        <v>328</v>
      </c>
      <c r="P173" s="6" t="s">
        <v>44</v>
      </c>
      <c r="Q173" s="8" t="s">
        <v>45</v>
      </c>
      <c r="R173" s="10" t="s">
        <v>1181</v>
      </c>
      <c r="S173" s="11"/>
      <c r="T173" s="6"/>
      <c r="U173" s="24" t="str">
        <f>HYPERLINK("https://media.infra-m.ru/2166/2166196/cover/2166196.jpg", "Обложка")</f>
        <v>Обложка</v>
      </c>
      <c r="V173" s="24" t="str">
        <f>HYPERLINK("https://znanium.ru/catalog/product/2166196", "Ознакомиться")</f>
        <v>Ознакомиться</v>
      </c>
      <c r="W173" s="8" t="s">
        <v>176</v>
      </c>
      <c r="X173" s="6"/>
      <c r="Y173" s="6"/>
      <c r="Z173" s="6"/>
      <c r="AA173" s="6" t="s">
        <v>168</v>
      </c>
      <c r="AB173" s="8"/>
    </row>
    <row r="174" spans="1:28" s="4" customFormat="1" ht="51.95" customHeight="1">
      <c r="A174" s="5">
        <v>0</v>
      </c>
      <c r="B174" s="6" t="s">
        <v>1182</v>
      </c>
      <c r="C174" s="7">
        <v>1980</v>
      </c>
      <c r="D174" s="8" t="s">
        <v>1183</v>
      </c>
      <c r="E174" s="8" t="s">
        <v>1184</v>
      </c>
      <c r="F174" s="8" t="s">
        <v>1185</v>
      </c>
      <c r="G174" s="6" t="s">
        <v>132</v>
      </c>
      <c r="H174" s="6" t="s">
        <v>571</v>
      </c>
      <c r="I174" s="8"/>
      <c r="J174" s="9">
        <v>1</v>
      </c>
      <c r="K174" s="9">
        <v>324</v>
      </c>
      <c r="L174" s="9">
        <v>2025</v>
      </c>
      <c r="M174" s="8" t="s">
        <v>1186</v>
      </c>
      <c r="N174" s="8" t="s">
        <v>42</v>
      </c>
      <c r="O174" s="8" t="s">
        <v>65</v>
      </c>
      <c r="P174" s="6" t="s">
        <v>44</v>
      </c>
      <c r="Q174" s="8" t="s">
        <v>45</v>
      </c>
      <c r="R174" s="10" t="s">
        <v>1187</v>
      </c>
      <c r="S174" s="11"/>
      <c r="T174" s="6"/>
      <c r="U174" s="24" t="str">
        <f>HYPERLINK("https://media.infra-m.ru/2184/2184990/cover/2184990.jpg", "Обложка")</f>
        <v>Обложка</v>
      </c>
      <c r="V174" s="24" t="str">
        <f>HYPERLINK("https://znanium.ru/catalog/product/2184990", "Ознакомиться")</f>
        <v>Ознакомиться</v>
      </c>
      <c r="W174" s="8" t="s">
        <v>846</v>
      </c>
      <c r="X174" s="6" t="s">
        <v>1188</v>
      </c>
      <c r="Y174" s="6"/>
      <c r="Z174" s="6"/>
      <c r="AA174" s="6" t="s">
        <v>159</v>
      </c>
      <c r="AB174" s="8"/>
    </row>
    <row r="175" spans="1:28" s="4" customFormat="1" ht="42" customHeight="1">
      <c r="A175" s="5">
        <v>0</v>
      </c>
      <c r="B175" s="6" t="s">
        <v>1189</v>
      </c>
      <c r="C175" s="7">
        <v>1032</v>
      </c>
      <c r="D175" s="8" t="s">
        <v>1190</v>
      </c>
      <c r="E175" s="8" t="s">
        <v>1191</v>
      </c>
      <c r="F175" s="8" t="s">
        <v>1192</v>
      </c>
      <c r="G175" s="6" t="s">
        <v>81</v>
      </c>
      <c r="H175" s="6" t="s">
        <v>39</v>
      </c>
      <c r="I175" s="8" t="s">
        <v>1193</v>
      </c>
      <c r="J175" s="9">
        <v>1</v>
      </c>
      <c r="K175" s="9">
        <v>160</v>
      </c>
      <c r="L175" s="9">
        <v>2026</v>
      </c>
      <c r="M175" s="8" t="s">
        <v>1194</v>
      </c>
      <c r="N175" s="8" t="s">
        <v>42</v>
      </c>
      <c r="O175" s="8" t="s">
        <v>1002</v>
      </c>
      <c r="P175" s="6" t="s">
        <v>1195</v>
      </c>
      <c r="Q175" s="8" t="s">
        <v>45</v>
      </c>
      <c r="R175" s="10" t="s">
        <v>1196</v>
      </c>
      <c r="S175" s="11"/>
      <c r="T175" s="6"/>
      <c r="U175" s="24" t="str">
        <f>HYPERLINK("https://media.infra-m.ru/2212/2212340/cover/2212340.jpg", "Обложка")</f>
        <v>Обложка</v>
      </c>
      <c r="V175" s="24" t="str">
        <f>HYPERLINK("https://znanium.ru/catalog/product/2212340", "Ознакомиться")</f>
        <v>Ознакомиться</v>
      </c>
      <c r="W175" s="8" t="s">
        <v>1197</v>
      </c>
      <c r="X175" s="6"/>
      <c r="Y175" s="6"/>
      <c r="Z175" s="6"/>
      <c r="AA175" s="6" t="s">
        <v>339</v>
      </c>
      <c r="AB175" s="8"/>
    </row>
    <row r="176" spans="1:28" s="4" customFormat="1" ht="42" customHeight="1">
      <c r="A176" s="5">
        <v>0</v>
      </c>
      <c r="B176" s="6" t="s">
        <v>1198</v>
      </c>
      <c r="C176" s="13">
        <v>588</v>
      </c>
      <c r="D176" s="8" t="s">
        <v>1199</v>
      </c>
      <c r="E176" s="8" t="s">
        <v>1200</v>
      </c>
      <c r="F176" s="8" t="s">
        <v>1201</v>
      </c>
      <c r="G176" s="6" t="s">
        <v>38</v>
      </c>
      <c r="H176" s="6" t="s">
        <v>39</v>
      </c>
      <c r="I176" s="8" t="s">
        <v>40</v>
      </c>
      <c r="J176" s="9">
        <v>1</v>
      </c>
      <c r="K176" s="9">
        <v>143</v>
      </c>
      <c r="L176" s="9">
        <v>2019</v>
      </c>
      <c r="M176" s="8" t="s">
        <v>1202</v>
      </c>
      <c r="N176" s="8" t="s">
        <v>42</v>
      </c>
      <c r="O176" s="8" t="s">
        <v>1035</v>
      </c>
      <c r="P176" s="6" t="s">
        <v>44</v>
      </c>
      <c r="Q176" s="8" t="s">
        <v>45</v>
      </c>
      <c r="R176" s="10" t="s">
        <v>1203</v>
      </c>
      <c r="S176" s="11"/>
      <c r="T176" s="6"/>
      <c r="U176" s="24" t="str">
        <f>HYPERLINK("https://media.infra-m.ru/1003/1003266/cover/1003266.jpg", "Обложка")</f>
        <v>Обложка</v>
      </c>
      <c r="V176" s="24" t="str">
        <f>HYPERLINK("https://znanium.ru/catalog/product/1003266", "Ознакомиться")</f>
        <v>Ознакомиться</v>
      </c>
      <c r="W176" s="8" t="s">
        <v>1204</v>
      </c>
      <c r="X176" s="6"/>
      <c r="Y176" s="6"/>
      <c r="Z176" s="6"/>
      <c r="AA176" s="6" t="s">
        <v>48</v>
      </c>
      <c r="AB176" s="8"/>
    </row>
    <row r="177" spans="1:28" s="4" customFormat="1" ht="51.95" customHeight="1">
      <c r="A177" s="5">
        <v>0</v>
      </c>
      <c r="B177" s="6" t="s">
        <v>1205</v>
      </c>
      <c r="C177" s="13">
        <v>436.8</v>
      </c>
      <c r="D177" s="8" t="s">
        <v>1206</v>
      </c>
      <c r="E177" s="8" t="s">
        <v>1207</v>
      </c>
      <c r="F177" s="8" t="s">
        <v>1208</v>
      </c>
      <c r="G177" s="6" t="s">
        <v>38</v>
      </c>
      <c r="H177" s="6" t="s">
        <v>571</v>
      </c>
      <c r="I177" s="8"/>
      <c r="J177" s="9">
        <v>1</v>
      </c>
      <c r="K177" s="9">
        <v>72</v>
      </c>
      <c r="L177" s="9">
        <v>2024</v>
      </c>
      <c r="M177" s="8" t="s">
        <v>1209</v>
      </c>
      <c r="N177" s="8" t="s">
        <v>54</v>
      </c>
      <c r="O177" s="8" t="s">
        <v>55</v>
      </c>
      <c r="P177" s="6" t="s">
        <v>286</v>
      </c>
      <c r="Q177" s="8" t="s">
        <v>416</v>
      </c>
      <c r="R177" s="10" t="s">
        <v>1210</v>
      </c>
      <c r="S177" s="11"/>
      <c r="T177" s="6"/>
      <c r="U177" s="24" t="str">
        <f>HYPERLINK("https://media.infra-m.ru/2083/2083306/cover/2083306.jpg", "Обложка")</f>
        <v>Обложка</v>
      </c>
      <c r="V177" s="24" t="str">
        <f>HYPERLINK("https://znanium.ru/catalog/product/1843638", "Ознакомиться")</f>
        <v>Ознакомиться</v>
      </c>
      <c r="W177" s="8" t="s">
        <v>1211</v>
      </c>
      <c r="X177" s="6"/>
      <c r="Y177" s="6"/>
      <c r="Z177" s="6"/>
      <c r="AA177" s="6" t="s">
        <v>48</v>
      </c>
      <c r="AB177" s="8"/>
    </row>
    <row r="178" spans="1:28" s="4" customFormat="1" ht="42" customHeight="1">
      <c r="A178" s="5">
        <v>0</v>
      </c>
      <c r="B178" s="6" t="s">
        <v>1212</v>
      </c>
      <c r="C178" s="7">
        <v>1300.8</v>
      </c>
      <c r="D178" s="8" t="s">
        <v>1213</v>
      </c>
      <c r="E178" s="8" t="s">
        <v>1214</v>
      </c>
      <c r="F178" s="8" t="s">
        <v>1215</v>
      </c>
      <c r="G178" s="6" t="s">
        <v>38</v>
      </c>
      <c r="H178" s="6" t="s">
        <v>182</v>
      </c>
      <c r="I178" s="8" t="s">
        <v>1216</v>
      </c>
      <c r="J178" s="9">
        <v>1</v>
      </c>
      <c r="K178" s="9">
        <v>215</v>
      </c>
      <c r="L178" s="9">
        <v>2025</v>
      </c>
      <c r="M178" s="8" t="s">
        <v>1217</v>
      </c>
      <c r="N178" s="8" t="s">
        <v>42</v>
      </c>
      <c r="O178" s="8" t="s">
        <v>1035</v>
      </c>
      <c r="P178" s="6" t="s">
        <v>44</v>
      </c>
      <c r="Q178" s="8" t="s">
        <v>45</v>
      </c>
      <c r="R178" s="10" t="s">
        <v>573</v>
      </c>
      <c r="S178" s="11"/>
      <c r="T178" s="6"/>
      <c r="U178" s="24" t="str">
        <f>HYPERLINK("https://media.infra-m.ru/2179/2179613/cover/2179613.jpg", "Обложка")</f>
        <v>Обложка</v>
      </c>
      <c r="V178" s="24" t="str">
        <f>HYPERLINK("https://znanium.ru/catalog/product/1220171", "Ознакомиться")</f>
        <v>Ознакомиться</v>
      </c>
      <c r="W178" s="8" t="s">
        <v>1218</v>
      </c>
      <c r="X178" s="6"/>
      <c r="Y178" s="6"/>
      <c r="Z178" s="6"/>
      <c r="AA178" s="6" t="s">
        <v>290</v>
      </c>
      <c r="AB178" s="8"/>
    </row>
    <row r="179" spans="1:28" s="4" customFormat="1" ht="51.95" customHeight="1">
      <c r="A179" s="5">
        <v>0</v>
      </c>
      <c r="B179" s="6" t="s">
        <v>1219</v>
      </c>
      <c r="C179" s="7">
        <v>1368</v>
      </c>
      <c r="D179" s="8" t="s">
        <v>1220</v>
      </c>
      <c r="E179" s="8" t="s">
        <v>1221</v>
      </c>
      <c r="F179" s="8" t="s">
        <v>1222</v>
      </c>
      <c r="G179" s="6" t="s">
        <v>38</v>
      </c>
      <c r="H179" s="6" t="s">
        <v>39</v>
      </c>
      <c r="I179" s="8" t="s">
        <v>40</v>
      </c>
      <c r="J179" s="9">
        <v>1</v>
      </c>
      <c r="K179" s="9">
        <v>246</v>
      </c>
      <c r="L179" s="9">
        <v>2024</v>
      </c>
      <c r="M179" s="8" t="s">
        <v>1223</v>
      </c>
      <c r="N179" s="8" t="s">
        <v>42</v>
      </c>
      <c r="O179" s="8" t="s">
        <v>189</v>
      </c>
      <c r="P179" s="6" t="s">
        <v>44</v>
      </c>
      <c r="Q179" s="8" t="s">
        <v>45</v>
      </c>
      <c r="R179" s="10" t="s">
        <v>1224</v>
      </c>
      <c r="S179" s="11"/>
      <c r="T179" s="6"/>
      <c r="U179" s="24" t="str">
        <f>HYPERLINK("https://media.infra-m.ru/2125/2125186/cover/2125186.jpg", "Обложка")</f>
        <v>Обложка</v>
      </c>
      <c r="V179" s="24" t="str">
        <f>HYPERLINK("https://znanium.ru/catalog/product/2125186", "Ознакомиться")</f>
        <v>Ознакомиться</v>
      </c>
      <c r="W179" s="8" t="s">
        <v>1225</v>
      </c>
      <c r="X179" s="6"/>
      <c r="Y179" s="6"/>
      <c r="Z179" s="6"/>
      <c r="AA179" s="6" t="s">
        <v>76</v>
      </c>
      <c r="AB179" s="8"/>
    </row>
    <row r="180" spans="1:28" s="4" customFormat="1" ht="44.1" customHeight="1">
      <c r="A180" s="5">
        <v>0</v>
      </c>
      <c r="B180" s="6" t="s">
        <v>1226</v>
      </c>
      <c r="C180" s="13">
        <v>952.8</v>
      </c>
      <c r="D180" s="8" t="s">
        <v>1227</v>
      </c>
      <c r="E180" s="8" t="s">
        <v>1228</v>
      </c>
      <c r="F180" s="8" t="s">
        <v>1229</v>
      </c>
      <c r="G180" s="6" t="s">
        <v>38</v>
      </c>
      <c r="H180" s="6" t="s">
        <v>39</v>
      </c>
      <c r="I180" s="8" t="s">
        <v>40</v>
      </c>
      <c r="J180" s="9">
        <v>1</v>
      </c>
      <c r="K180" s="9">
        <v>160</v>
      </c>
      <c r="L180" s="9">
        <v>2025</v>
      </c>
      <c r="M180" s="8" t="s">
        <v>1230</v>
      </c>
      <c r="N180" s="8" t="s">
        <v>220</v>
      </c>
      <c r="O180" s="8" t="s">
        <v>296</v>
      </c>
      <c r="P180" s="6" t="s">
        <v>44</v>
      </c>
      <c r="Q180" s="8" t="s">
        <v>45</v>
      </c>
      <c r="R180" s="10" t="s">
        <v>1231</v>
      </c>
      <c r="S180" s="11"/>
      <c r="T180" s="6"/>
      <c r="U180" s="24" t="str">
        <f>HYPERLINK("https://media.infra-m.ru/2163/2163213/cover/2163213.jpg", "Обложка")</f>
        <v>Обложка</v>
      </c>
      <c r="V180" s="24" t="str">
        <f>HYPERLINK("https://znanium.ru/catalog/product/2117172", "Ознакомиться")</f>
        <v>Ознакомиться</v>
      </c>
      <c r="W180" s="8" t="s">
        <v>1010</v>
      </c>
      <c r="X180" s="6"/>
      <c r="Y180" s="6"/>
      <c r="Z180" s="6"/>
      <c r="AA180" s="6" t="s">
        <v>68</v>
      </c>
      <c r="AB180" s="8"/>
    </row>
    <row r="181" spans="1:28" s="4" customFormat="1" ht="42" customHeight="1">
      <c r="A181" s="5">
        <v>0</v>
      </c>
      <c r="B181" s="6" t="s">
        <v>1232</v>
      </c>
      <c r="C181" s="7">
        <v>2196</v>
      </c>
      <c r="D181" s="8" t="s">
        <v>1233</v>
      </c>
      <c r="E181" s="8" t="s">
        <v>1234</v>
      </c>
      <c r="F181" s="8" t="s">
        <v>1235</v>
      </c>
      <c r="G181" s="6" t="s">
        <v>132</v>
      </c>
      <c r="H181" s="6" t="s">
        <v>39</v>
      </c>
      <c r="I181" s="8" t="s">
        <v>40</v>
      </c>
      <c r="J181" s="9">
        <v>1</v>
      </c>
      <c r="K181" s="9">
        <v>398</v>
      </c>
      <c r="L181" s="9">
        <v>2023</v>
      </c>
      <c r="M181" s="8" t="s">
        <v>1236</v>
      </c>
      <c r="N181" s="8" t="s">
        <v>284</v>
      </c>
      <c r="O181" s="8" t="s">
        <v>285</v>
      </c>
      <c r="P181" s="6" t="s">
        <v>44</v>
      </c>
      <c r="Q181" s="8" t="s">
        <v>45</v>
      </c>
      <c r="R181" s="10" t="s">
        <v>1237</v>
      </c>
      <c r="S181" s="11"/>
      <c r="T181" s="6"/>
      <c r="U181" s="24" t="str">
        <f>HYPERLINK("https://media.infra-m.ru/2049/2049717/cover/2049717.jpg", "Обложка")</f>
        <v>Обложка</v>
      </c>
      <c r="V181" s="24" t="str">
        <f>HYPERLINK("https://znanium.ru/catalog/product/2049717", "Ознакомиться")</f>
        <v>Ознакомиться</v>
      </c>
      <c r="W181" s="8" t="s">
        <v>1238</v>
      </c>
      <c r="X181" s="6"/>
      <c r="Y181" s="6"/>
      <c r="Z181" s="6"/>
      <c r="AA181" s="6" t="s">
        <v>119</v>
      </c>
      <c r="AB181" s="8" t="s">
        <v>766</v>
      </c>
    </row>
    <row r="182" spans="1:28" s="4" customFormat="1" ht="42" customHeight="1">
      <c r="A182" s="5">
        <v>0</v>
      </c>
      <c r="B182" s="6" t="s">
        <v>1239</v>
      </c>
      <c r="C182" s="13">
        <v>941.9</v>
      </c>
      <c r="D182" s="8" t="s">
        <v>1240</v>
      </c>
      <c r="E182" s="8" t="s">
        <v>1241</v>
      </c>
      <c r="F182" s="8" t="s">
        <v>1242</v>
      </c>
      <c r="G182" s="6" t="s">
        <v>38</v>
      </c>
      <c r="H182" s="6" t="s">
        <v>39</v>
      </c>
      <c r="I182" s="8" t="s">
        <v>40</v>
      </c>
      <c r="J182" s="9">
        <v>1</v>
      </c>
      <c r="K182" s="9">
        <v>200</v>
      </c>
      <c r="L182" s="9">
        <v>2022</v>
      </c>
      <c r="M182" s="8" t="s">
        <v>1243</v>
      </c>
      <c r="N182" s="8" t="s">
        <v>284</v>
      </c>
      <c r="O182" s="8" t="s">
        <v>717</v>
      </c>
      <c r="P182" s="6" t="s">
        <v>44</v>
      </c>
      <c r="Q182" s="8" t="s">
        <v>45</v>
      </c>
      <c r="R182" s="10" t="s">
        <v>718</v>
      </c>
      <c r="S182" s="11"/>
      <c r="T182" s="6"/>
      <c r="U182" s="24" t="str">
        <f>HYPERLINK("https://media.infra-m.ru/1859/1859043/cover/1859043.jpg", "Обложка")</f>
        <v>Обложка</v>
      </c>
      <c r="V182" s="24" t="str">
        <f>HYPERLINK("https://znanium.ru/catalog/product/1044596", "Ознакомиться")</f>
        <v>Ознакомиться</v>
      </c>
      <c r="W182" s="8" t="s">
        <v>1244</v>
      </c>
      <c r="X182" s="6"/>
      <c r="Y182" s="6"/>
      <c r="Z182" s="6"/>
      <c r="AA182" s="6" t="s">
        <v>68</v>
      </c>
      <c r="AB182" s="8"/>
    </row>
    <row r="183" spans="1:28" s="4" customFormat="1" ht="42" customHeight="1">
      <c r="A183" s="5">
        <v>0</v>
      </c>
      <c r="B183" s="6" t="s">
        <v>1245</v>
      </c>
      <c r="C183" s="7">
        <v>1193.9000000000001</v>
      </c>
      <c r="D183" s="8" t="s">
        <v>1246</v>
      </c>
      <c r="E183" s="8" t="s">
        <v>1247</v>
      </c>
      <c r="F183" s="8" t="s">
        <v>1248</v>
      </c>
      <c r="G183" s="6" t="s">
        <v>132</v>
      </c>
      <c r="H183" s="6" t="s">
        <v>39</v>
      </c>
      <c r="I183" s="8" t="s">
        <v>40</v>
      </c>
      <c r="J183" s="9">
        <v>1</v>
      </c>
      <c r="K183" s="9">
        <v>256</v>
      </c>
      <c r="L183" s="9">
        <v>2022</v>
      </c>
      <c r="M183" s="8" t="s">
        <v>1249</v>
      </c>
      <c r="N183" s="8" t="s">
        <v>220</v>
      </c>
      <c r="O183" s="8" t="s">
        <v>1250</v>
      </c>
      <c r="P183" s="6" t="s">
        <v>44</v>
      </c>
      <c r="Q183" s="8" t="s">
        <v>45</v>
      </c>
      <c r="R183" s="10" t="s">
        <v>1251</v>
      </c>
      <c r="S183" s="11"/>
      <c r="T183" s="6"/>
      <c r="U183" s="24" t="str">
        <f>HYPERLINK("https://media.infra-m.ru/1852/1852197/cover/1852197.jpg", "Обложка")</f>
        <v>Обложка</v>
      </c>
      <c r="V183" s="24" t="str">
        <f>HYPERLINK("https://znanium.ru/catalog/product/1065278", "Ознакомиться")</f>
        <v>Ознакомиться</v>
      </c>
      <c r="W183" s="8" t="s">
        <v>191</v>
      </c>
      <c r="X183" s="6"/>
      <c r="Y183" s="6"/>
      <c r="Z183" s="6"/>
      <c r="AA183" s="6" t="s">
        <v>290</v>
      </c>
      <c r="AB183" s="8"/>
    </row>
    <row r="184" spans="1:28" s="4" customFormat="1" ht="42" customHeight="1">
      <c r="A184" s="5">
        <v>0</v>
      </c>
      <c r="B184" s="6" t="s">
        <v>1252</v>
      </c>
      <c r="C184" s="7">
        <v>1572</v>
      </c>
      <c r="D184" s="8" t="s">
        <v>1253</v>
      </c>
      <c r="E184" s="8" t="s">
        <v>1254</v>
      </c>
      <c r="F184" s="8" t="s">
        <v>1255</v>
      </c>
      <c r="G184" s="6" t="s">
        <v>38</v>
      </c>
      <c r="H184" s="6" t="s">
        <v>39</v>
      </c>
      <c r="I184" s="8" t="s">
        <v>40</v>
      </c>
      <c r="J184" s="9">
        <v>1</v>
      </c>
      <c r="K184" s="9">
        <v>284</v>
      </c>
      <c r="L184" s="9">
        <v>2024</v>
      </c>
      <c r="M184" s="8" t="s">
        <v>1256</v>
      </c>
      <c r="N184" s="8" t="s">
        <v>220</v>
      </c>
      <c r="O184" s="8" t="s">
        <v>1250</v>
      </c>
      <c r="P184" s="6" t="s">
        <v>44</v>
      </c>
      <c r="Q184" s="8" t="s">
        <v>45</v>
      </c>
      <c r="R184" s="10" t="s">
        <v>1257</v>
      </c>
      <c r="S184" s="11"/>
      <c r="T184" s="6"/>
      <c r="U184" s="24" t="str">
        <f>HYPERLINK("https://media.infra-m.ru/2125/2125935/cover/2125935.jpg", "Обложка")</f>
        <v>Обложка</v>
      </c>
      <c r="V184" s="24" t="str">
        <f>HYPERLINK("https://znanium.ru/catalog/product/2125935", "Ознакомиться")</f>
        <v>Ознакомиться</v>
      </c>
      <c r="W184" s="8" t="s">
        <v>1258</v>
      </c>
      <c r="X184" s="6"/>
      <c r="Y184" s="6"/>
      <c r="Z184" s="6"/>
      <c r="AA184" s="6" t="s">
        <v>199</v>
      </c>
      <c r="AB184" s="8"/>
    </row>
    <row r="185" spans="1:28" s="4" customFormat="1" ht="51.95" customHeight="1">
      <c r="A185" s="5">
        <v>0</v>
      </c>
      <c r="B185" s="6" t="s">
        <v>1259</v>
      </c>
      <c r="C185" s="7">
        <v>2392.8000000000002</v>
      </c>
      <c r="D185" s="8" t="s">
        <v>1260</v>
      </c>
      <c r="E185" s="8" t="s">
        <v>1261</v>
      </c>
      <c r="F185" s="8" t="s">
        <v>1262</v>
      </c>
      <c r="G185" s="6" t="s">
        <v>132</v>
      </c>
      <c r="H185" s="6" t="s">
        <v>39</v>
      </c>
      <c r="I185" s="8" t="s">
        <v>851</v>
      </c>
      <c r="J185" s="9">
        <v>1</v>
      </c>
      <c r="K185" s="9">
        <v>388</v>
      </c>
      <c r="L185" s="9">
        <v>2026</v>
      </c>
      <c r="M185" s="8" t="s">
        <v>1263</v>
      </c>
      <c r="N185" s="8" t="s">
        <v>220</v>
      </c>
      <c r="O185" s="8" t="s">
        <v>1250</v>
      </c>
      <c r="P185" s="6" t="s">
        <v>1264</v>
      </c>
      <c r="Q185" s="8" t="s">
        <v>416</v>
      </c>
      <c r="R185" s="10" t="s">
        <v>1265</v>
      </c>
      <c r="S185" s="11" t="s">
        <v>1266</v>
      </c>
      <c r="T185" s="6"/>
      <c r="U185" s="24" t="str">
        <f>HYPERLINK("https://media.infra-m.ru/2224/2224191/cover/2224191.jpg", "Обложка")</f>
        <v>Обложка</v>
      </c>
      <c r="V185" s="24" t="str">
        <f>HYPERLINK("https://znanium.ru/catalog/product/1181042", "Ознакомиться")</f>
        <v>Ознакомиться</v>
      </c>
      <c r="W185" s="8" t="s">
        <v>1258</v>
      </c>
      <c r="X185" s="6"/>
      <c r="Y185" s="6"/>
      <c r="Z185" s="6"/>
      <c r="AA185" s="6" t="s">
        <v>127</v>
      </c>
      <c r="AB185" s="8"/>
    </row>
    <row r="186" spans="1:28" s="4" customFormat="1" ht="42" customHeight="1">
      <c r="A186" s="5">
        <v>0</v>
      </c>
      <c r="B186" s="6" t="s">
        <v>1267</v>
      </c>
      <c r="C186" s="7">
        <v>1056</v>
      </c>
      <c r="D186" s="8" t="s">
        <v>1268</v>
      </c>
      <c r="E186" s="8" t="s">
        <v>1269</v>
      </c>
      <c r="F186" s="8" t="s">
        <v>1270</v>
      </c>
      <c r="G186" s="6" t="s">
        <v>38</v>
      </c>
      <c r="H186" s="6" t="s">
        <v>39</v>
      </c>
      <c r="I186" s="8" t="s">
        <v>40</v>
      </c>
      <c r="J186" s="9">
        <v>1</v>
      </c>
      <c r="K186" s="9">
        <v>169</v>
      </c>
      <c r="L186" s="9">
        <v>2025</v>
      </c>
      <c r="M186" s="8" t="s">
        <v>1271</v>
      </c>
      <c r="N186" s="8" t="s">
        <v>284</v>
      </c>
      <c r="O186" s="8" t="s">
        <v>285</v>
      </c>
      <c r="P186" s="6" t="s">
        <v>44</v>
      </c>
      <c r="Q186" s="8" t="s">
        <v>45</v>
      </c>
      <c r="R186" s="10" t="s">
        <v>1272</v>
      </c>
      <c r="S186" s="11"/>
      <c r="T186" s="6"/>
      <c r="U186" s="24" t="str">
        <f>HYPERLINK("https://media.infra-m.ru/2197/2197603/cover/2197603.jpg", "Обложка")</f>
        <v>Обложка</v>
      </c>
      <c r="V186" s="24" t="str">
        <f>HYPERLINK("https://znanium.ru/catalog/product/2197603", "Ознакомиться")</f>
        <v>Ознакомиться</v>
      </c>
      <c r="W186" s="8" t="s">
        <v>1273</v>
      </c>
      <c r="X186" s="6"/>
      <c r="Y186" s="6"/>
      <c r="Z186" s="6"/>
      <c r="AA186" s="6" t="s">
        <v>369</v>
      </c>
      <c r="AB186" s="8"/>
    </row>
    <row r="187" spans="1:28" s="4" customFormat="1" ht="42" customHeight="1">
      <c r="A187" s="5">
        <v>0</v>
      </c>
      <c r="B187" s="6" t="s">
        <v>1274</v>
      </c>
      <c r="C187" s="7">
        <v>1409.9</v>
      </c>
      <c r="D187" s="8" t="s">
        <v>1275</v>
      </c>
      <c r="E187" s="8" t="s">
        <v>1276</v>
      </c>
      <c r="F187" s="8" t="s">
        <v>1277</v>
      </c>
      <c r="G187" s="6" t="s">
        <v>38</v>
      </c>
      <c r="H187" s="6" t="s">
        <v>39</v>
      </c>
      <c r="I187" s="8" t="s">
        <v>40</v>
      </c>
      <c r="J187" s="9">
        <v>1</v>
      </c>
      <c r="K187" s="9">
        <v>260</v>
      </c>
      <c r="L187" s="9">
        <v>2023</v>
      </c>
      <c r="M187" s="8" t="s">
        <v>1278</v>
      </c>
      <c r="N187" s="8" t="s">
        <v>220</v>
      </c>
      <c r="O187" s="8" t="s">
        <v>296</v>
      </c>
      <c r="P187" s="6" t="s">
        <v>44</v>
      </c>
      <c r="Q187" s="8" t="s">
        <v>45</v>
      </c>
      <c r="R187" s="10" t="s">
        <v>1279</v>
      </c>
      <c r="S187" s="11"/>
      <c r="T187" s="6"/>
      <c r="U187" s="24" t="str">
        <f>HYPERLINK("https://media.infra-m.ru/2045/2045952/cover/2045952.jpg", "Обложка")</f>
        <v>Обложка</v>
      </c>
      <c r="V187" s="24" t="str">
        <f>HYPERLINK("https://znanium.ru/catalog/product/1043239", "Ознакомиться")</f>
        <v>Ознакомиться</v>
      </c>
      <c r="W187" s="8" t="s">
        <v>1273</v>
      </c>
      <c r="X187" s="6"/>
      <c r="Y187" s="6"/>
      <c r="Z187" s="6"/>
      <c r="AA187" s="6" t="s">
        <v>168</v>
      </c>
      <c r="AB187" s="8"/>
    </row>
    <row r="188" spans="1:28" s="4" customFormat="1" ht="51.95" customHeight="1">
      <c r="A188" s="5">
        <v>0</v>
      </c>
      <c r="B188" s="6" t="s">
        <v>1280</v>
      </c>
      <c r="C188" s="7">
        <v>2392.8000000000002</v>
      </c>
      <c r="D188" s="8" t="s">
        <v>1281</v>
      </c>
      <c r="E188" s="8" t="s">
        <v>1282</v>
      </c>
      <c r="F188" s="8" t="s">
        <v>1283</v>
      </c>
      <c r="G188" s="6" t="s">
        <v>132</v>
      </c>
      <c r="H188" s="6" t="s">
        <v>39</v>
      </c>
      <c r="I188" s="8" t="s">
        <v>40</v>
      </c>
      <c r="J188" s="9">
        <v>1</v>
      </c>
      <c r="K188" s="9">
        <v>595</v>
      </c>
      <c r="L188" s="9">
        <v>2023</v>
      </c>
      <c r="M188" s="8" t="s">
        <v>1284</v>
      </c>
      <c r="N188" s="8" t="s">
        <v>42</v>
      </c>
      <c r="O188" s="8" t="s">
        <v>189</v>
      </c>
      <c r="P188" s="6" t="s">
        <v>44</v>
      </c>
      <c r="Q188" s="8" t="s">
        <v>45</v>
      </c>
      <c r="R188" s="10" t="s">
        <v>1285</v>
      </c>
      <c r="S188" s="11"/>
      <c r="T188" s="6"/>
      <c r="U188" s="24" t="str">
        <f>HYPERLINK("https://media.infra-m.ru/2045/2045969/cover/2045969.jpg", "Обложка")</f>
        <v>Обложка</v>
      </c>
      <c r="V188" s="24" t="str">
        <f>HYPERLINK("https://znanium.ru/catalog/product/1041929", "Ознакомиться")</f>
        <v>Ознакомиться</v>
      </c>
      <c r="W188" s="8" t="s">
        <v>191</v>
      </c>
      <c r="X188" s="6"/>
      <c r="Y188" s="6"/>
      <c r="Z188" s="6"/>
      <c r="AA188" s="6" t="s">
        <v>168</v>
      </c>
      <c r="AB188" s="8"/>
    </row>
    <row r="189" spans="1:28" s="4" customFormat="1" ht="42" customHeight="1">
      <c r="A189" s="5">
        <v>0</v>
      </c>
      <c r="B189" s="6" t="s">
        <v>1286</v>
      </c>
      <c r="C189" s="7">
        <v>1764</v>
      </c>
      <c r="D189" s="8" t="s">
        <v>1287</v>
      </c>
      <c r="E189" s="8" t="s">
        <v>1288</v>
      </c>
      <c r="F189" s="8" t="s">
        <v>1283</v>
      </c>
      <c r="G189" s="6" t="s">
        <v>132</v>
      </c>
      <c r="H189" s="6" t="s">
        <v>39</v>
      </c>
      <c r="I189" s="8" t="s">
        <v>40</v>
      </c>
      <c r="J189" s="9">
        <v>1</v>
      </c>
      <c r="K189" s="9">
        <v>432</v>
      </c>
      <c r="L189" s="9">
        <v>2019</v>
      </c>
      <c r="M189" s="8" t="s">
        <v>1289</v>
      </c>
      <c r="N189" s="8" t="s">
        <v>42</v>
      </c>
      <c r="O189" s="8" t="s">
        <v>189</v>
      </c>
      <c r="P189" s="6" t="s">
        <v>44</v>
      </c>
      <c r="Q189" s="8" t="s">
        <v>45</v>
      </c>
      <c r="R189" s="10" t="s">
        <v>1290</v>
      </c>
      <c r="S189" s="11"/>
      <c r="T189" s="6"/>
      <c r="U189" s="24" t="str">
        <f>HYPERLINK("https://media.infra-m.ru/0947/0947488/cover/947488.jpg", "Обложка")</f>
        <v>Обложка</v>
      </c>
      <c r="V189" s="24" t="str">
        <f>HYPERLINK("https://znanium.ru/catalog/product/947488", "Ознакомиться")</f>
        <v>Ознакомиться</v>
      </c>
      <c r="W189" s="8" t="s">
        <v>191</v>
      </c>
      <c r="X189" s="6"/>
      <c r="Y189" s="6"/>
      <c r="Z189" s="6"/>
      <c r="AA189" s="6" t="s">
        <v>76</v>
      </c>
      <c r="AB189" s="8"/>
    </row>
    <row r="190" spans="1:28" s="4" customFormat="1" ht="42" customHeight="1">
      <c r="A190" s="5">
        <v>0</v>
      </c>
      <c r="B190" s="6" t="s">
        <v>1291</v>
      </c>
      <c r="C190" s="7">
        <v>2280</v>
      </c>
      <c r="D190" s="8" t="s">
        <v>1292</v>
      </c>
      <c r="E190" s="8" t="s">
        <v>1293</v>
      </c>
      <c r="F190" s="8" t="s">
        <v>1283</v>
      </c>
      <c r="G190" s="6" t="s">
        <v>81</v>
      </c>
      <c r="H190" s="6" t="s">
        <v>39</v>
      </c>
      <c r="I190" s="8" t="s">
        <v>40</v>
      </c>
      <c r="J190" s="9">
        <v>1</v>
      </c>
      <c r="K190" s="9">
        <v>529</v>
      </c>
      <c r="L190" s="9">
        <v>2019</v>
      </c>
      <c r="M190" s="8" t="s">
        <v>1294</v>
      </c>
      <c r="N190" s="8" t="s">
        <v>42</v>
      </c>
      <c r="O190" s="8" t="s">
        <v>189</v>
      </c>
      <c r="P190" s="6" t="s">
        <v>44</v>
      </c>
      <c r="Q190" s="8" t="s">
        <v>45</v>
      </c>
      <c r="R190" s="10" t="s">
        <v>1290</v>
      </c>
      <c r="S190" s="11"/>
      <c r="T190" s="6"/>
      <c r="U190" s="24" t="str">
        <f>HYPERLINK("https://media.infra-m.ru/0995/0995997/cover/995997.jpg", "Обложка")</f>
        <v>Обложка</v>
      </c>
      <c r="V190" s="24" t="str">
        <f>HYPERLINK("https://znanium.ru/catalog/product/995997", "Ознакомиться")</f>
        <v>Ознакомиться</v>
      </c>
      <c r="W190" s="8" t="s">
        <v>191</v>
      </c>
      <c r="X190" s="6"/>
      <c r="Y190" s="6"/>
      <c r="Z190" s="6"/>
      <c r="AA190" s="6" t="s">
        <v>68</v>
      </c>
      <c r="AB190" s="8"/>
    </row>
    <row r="191" spans="1:28" s="4" customFormat="1" ht="51.95" customHeight="1">
      <c r="A191" s="5">
        <v>0</v>
      </c>
      <c r="B191" s="6" t="s">
        <v>1295</v>
      </c>
      <c r="C191" s="7">
        <v>1732.8</v>
      </c>
      <c r="D191" s="8" t="s">
        <v>1296</v>
      </c>
      <c r="E191" s="8" t="s">
        <v>1297</v>
      </c>
      <c r="F191" s="8" t="s">
        <v>1283</v>
      </c>
      <c r="G191" s="6" t="s">
        <v>132</v>
      </c>
      <c r="H191" s="6" t="s">
        <v>39</v>
      </c>
      <c r="I191" s="8" t="s">
        <v>40</v>
      </c>
      <c r="J191" s="9">
        <v>1</v>
      </c>
      <c r="K191" s="9">
        <v>319</v>
      </c>
      <c r="L191" s="9">
        <v>2023</v>
      </c>
      <c r="M191" s="8" t="s">
        <v>1298</v>
      </c>
      <c r="N191" s="8" t="s">
        <v>42</v>
      </c>
      <c r="O191" s="8" t="s">
        <v>189</v>
      </c>
      <c r="P191" s="6" t="s">
        <v>44</v>
      </c>
      <c r="Q191" s="8" t="s">
        <v>45</v>
      </c>
      <c r="R191" s="10" t="s">
        <v>1299</v>
      </c>
      <c r="S191" s="11"/>
      <c r="T191" s="6"/>
      <c r="U191" s="24" t="str">
        <f>HYPERLINK("https://media.infra-m.ru/2030/2030891/cover/2030891.jpg", "Обложка")</f>
        <v>Обложка</v>
      </c>
      <c r="V191" s="24" t="str">
        <f>HYPERLINK("https://znanium.ru/catalog/product/997116", "Ознакомиться")</f>
        <v>Ознакомиться</v>
      </c>
      <c r="W191" s="8" t="s">
        <v>191</v>
      </c>
      <c r="X191" s="6"/>
      <c r="Y191" s="6"/>
      <c r="Z191" s="6"/>
      <c r="AA191" s="6" t="s">
        <v>76</v>
      </c>
      <c r="AB191" s="8"/>
    </row>
    <row r="192" spans="1:28" s="4" customFormat="1" ht="42" customHeight="1">
      <c r="A192" s="5">
        <v>0</v>
      </c>
      <c r="B192" s="6" t="s">
        <v>1300</v>
      </c>
      <c r="C192" s="7">
        <v>2616</v>
      </c>
      <c r="D192" s="8" t="s">
        <v>1301</v>
      </c>
      <c r="E192" s="8" t="s">
        <v>1302</v>
      </c>
      <c r="F192" s="8" t="s">
        <v>1283</v>
      </c>
      <c r="G192" s="6" t="s">
        <v>81</v>
      </c>
      <c r="H192" s="6" t="s">
        <v>39</v>
      </c>
      <c r="I192" s="8" t="s">
        <v>40</v>
      </c>
      <c r="J192" s="9">
        <v>1</v>
      </c>
      <c r="K192" s="9">
        <v>549</v>
      </c>
      <c r="L192" s="9">
        <v>2023</v>
      </c>
      <c r="M192" s="8" t="s">
        <v>1303</v>
      </c>
      <c r="N192" s="8" t="s">
        <v>42</v>
      </c>
      <c r="O192" s="8" t="s">
        <v>101</v>
      </c>
      <c r="P192" s="6" t="s">
        <v>44</v>
      </c>
      <c r="Q192" s="8" t="s">
        <v>45</v>
      </c>
      <c r="R192" s="10" t="s">
        <v>1290</v>
      </c>
      <c r="S192" s="11"/>
      <c r="T192" s="6"/>
      <c r="U192" s="24" t="str">
        <f>HYPERLINK("https://media.infra-m.ru/1873/1873036/cover/1873036.jpg", "Обложка")</f>
        <v>Обложка</v>
      </c>
      <c r="V192" s="24" t="str">
        <f>HYPERLINK("https://znanium.ru/catalog/product/1873036", "Ознакомиться")</f>
        <v>Ознакомиться</v>
      </c>
      <c r="W192" s="8" t="s">
        <v>191</v>
      </c>
      <c r="X192" s="6"/>
      <c r="Y192" s="6"/>
      <c r="Z192" s="6"/>
      <c r="AA192" s="6" t="s">
        <v>68</v>
      </c>
      <c r="AB192" s="8"/>
    </row>
    <row r="193" spans="1:28" s="4" customFormat="1" ht="51.95" customHeight="1">
      <c r="A193" s="5">
        <v>0</v>
      </c>
      <c r="B193" s="6" t="s">
        <v>1304</v>
      </c>
      <c r="C193" s="7">
        <v>1380</v>
      </c>
      <c r="D193" s="8" t="s">
        <v>1305</v>
      </c>
      <c r="E193" s="8" t="s">
        <v>1306</v>
      </c>
      <c r="F193" s="8" t="s">
        <v>1307</v>
      </c>
      <c r="G193" s="6" t="s">
        <v>38</v>
      </c>
      <c r="H193" s="6" t="s">
        <v>39</v>
      </c>
      <c r="I193" s="8"/>
      <c r="J193" s="9">
        <v>1</v>
      </c>
      <c r="K193" s="9">
        <v>208</v>
      </c>
      <c r="L193" s="9">
        <v>2026</v>
      </c>
      <c r="M193" s="8" t="s">
        <v>1308</v>
      </c>
      <c r="N193" s="8" t="s">
        <v>42</v>
      </c>
      <c r="O193" s="8" t="s">
        <v>189</v>
      </c>
      <c r="P193" s="6" t="s">
        <v>44</v>
      </c>
      <c r="Q193" s="8" t="s">
        <v>45</v>
      </c>
      <c r="R193" s="10" t="s">
        <v>1309</v>
      </c>
      <c r="S193" s="11"/>
      <c r="T193" s="6"/>
      <c r="U193" s="24" t="str">
        <f>HYPERLINK("https://media.infra-m.ru/2231/2231094/cover/2231094.jpg", "Обложка")</f>
        <v>Обложка</v>
      </c>
      <c r="V193" s="24" t="str">
        <f>HYPERLINK("https://znanium.ru/catalog/product/2231094", "Ознакомиться")</f>
        <v>Ознакомиться</v>
      </c>
      <c r="W193" s="8" t="s">
        <v>574</v>
      </c>
      <c r="X193" s="6"/>
      <c r="Y193" s="6"/>
      <c r="Z193" s="6"/>
      <c r="AA193" s="6" t="s">
        <v>339</v>
      </c>
      <c r="AB193" s="8"/>
    </row>
    <row r="194" spans="1:28" s="4" customFormat="1" ht="44.1" customHeight="1">
      <c r="A194" s="5">
        <v>0</v>
      </c>
      <c r="B194" s="6" t="s">
        <v>1310</v>
      </c>
      <c r="C194" s="7">
        <v>1044</v>
      </c>
      <c r="D194" s="8" t="s">
        <v>1311</v>
      </c>
      <c r="E194" s="8" t="s">
        <v>1312</v>
      </c>
      <c r="F194" s="8" t="s">
        <v>1313</v>
      </c>
      <c r="G194" s="6" t="s">
        <v>38</v>
      </c>
      <c r="H194" s="6" t="s">
        <v>1019</v>
      </c>
      <c r="I194" s="8" t="s">
        <v>1020</v>
      </c>
      <c r="J194" s="9">
        <v>1</v>
      </c>
      <c r="K194" s="9">
        <v>189</v>
      </c>
      <c r="L194" s="9">
        <v>2024</v>
      </c>
      <c r="M194" s="8" t="s">
        <v>1314</v>
      </c>
      <c r="N194" s="8" t="s">
        <v>42</v>
      </c>
      <c r="O194" s="8" t="s">
        <v>1315</v>
      </c>
      <c r="P194" s="6" t="s">
        <v>44</v>
      </c>
      <c r="Q194" s="8" t="s">
        <v>1152</v>
      </c>
      <c r="R194" s="10" t="s">
        <v>1316</v>
      </c>
      <c r="S194" s="11"/>
      <c r="T194" s="6"/>
      <c r="U194" s="24" t="str">
        <f>HYPERLINK("https://media.infra-m.ru/2113/2113844/cover/2113844.jpg", "Обложка")</f>
        <v>Обложка</v>
      </c>
      <c r="V194" s="24" t="str">
        <f>HYPERLINK("https://znanium.ru/catalog/product/2113844", "Ознакомиться")</f>
        <v>Ознакомиться</v>
      </c>
      <c r="W194" s="8" t="s">
        <v>176</v>
      </c>
      <c r="X194" s="6"/>
      <c r="Y194" s="6"/>
      <c r="Z194" s="6"/>
      <c r="AA194" s="6" t="s">
        <v>331</v>
      </c>
      <c r="AB194" s="8"/>
    </row>
    <row r="195" spans="1:28" s="4" customFormat="1" ht="42" customHeight="1">
      <c r="A195" s="5">
        <v>0</v>
      </c>
      <c r="B195" s="6" t="s">
        <v>1317</v>
      </c>
      <c r="C195" s="7">
        <v>2508</v>
      </c>
      <c r="D195" s="8" t="s">
        <v>1318</v>
      </c>
      <c r="E195" s="8" t="s">
        <v>1319</v>
      </c>
      <c r="F195" s="8" t="s">
        <v>1320</v>
      </c>
      <c r="G195" s="6" t="s">
        <v>132</v>
      </c>
      <c r="H195" s="6" t="s">
        <v>39</v>
      </c>
      <c r="I195" s="8" t="s">
        <v>40</v>
      </c>
      <c r="J195" s="9">
        <v>1</v>
      </c>
      <c r="K195" s="9">
        <v>373</v>
      </c>
      <c r="L195" s="9">
        <v>2026</v>
      </c>
      <c r="M195" s="8" t="s">
        <v>1321</v>
      </c>
      <c r="N195" s="8" t="s">
        <v>42</v>
      </c>
      <c r="O195" s="8" t="s">
        <v>246</v>
      </c>
      <c r="P195" s="6" t="s">
        <v>44</v>
      </c>
      <c r="Q195" s="8" t="s">
        <v>45</v>
      </c>
      <c r="R195" s="10" t="s">
        <v>1322</v>
      </c>
      <c r="S195" s="11"/>
      <c r="T195" s="6"/>
      <c r="U195" s="24" t="str">
        <f>HYPERLINK("https://media.infra-m.ru/2206/2206486/cover/2206486.jpg", "Обложка")</f>
        <v>Обложка</v>
      </c>
      <c r="V195" s="24" t="str">
        <f>HYPERLINK("https://znanium.ru/catalog/product/2206486", "Ознакомиться")</f>
        <v>Ознакомиться</v>
      </c>
      <c r="W195" s="8" t="s">
        <v>1323</v>
      </c>
      <c r="X195" s="6" t="s">
        <v>1094</v>
      </c>
      <c r="Y195" s="6"/>
      <c r="Z195" s="6"/>
      <c r="AA195" s="6" t="s">
        <v>833</v>
      </c>
      <c r="AB195" s="8"/>
    </row>
    <row r="196" spans="1:28" s="4" customFormat="1" ht="51.95" customHeight="1">
      <c r="A196" s="5">
        <v>0</v>
      </c>
      <c r="B196" s="6" t="s">
        <v>1324</v>
      </c>
      <c r="C196" s="7">
        <v>1960.8</v>
      </c>
      <c r="D196" s="8" t="s">
        <v>1325</v>
      </c>
      <c r="E196" s="8" t="s">
        <v>1326</v>
      </c>
      <c r="F196" s="8" t="s">
        <v>1327</v>
      </c>
      <c r="G196" s="6" t="s">
        <v>81</v>
      </c>
      <c r="H196" s="6" t="s">
        <v>99</v>
      </c>
      <c r="I196" s="8"/>
      <c r="J196" s="9">
        <v>1</v>
      </c>
      <c r="K196" s="9">
        <v>296</v>
      </c>
      <c r="L196" s="9">
        <v>2026</v>
      </c>
      <c r="M196" s="8" t="s">
        <v>1328</v>
      </c>
      <c r="N196" s="8" t="s">
        <v>42</v>
      </c>
      <c r="O196" s="8" t="s">
        <v>101</v>
      </c>
      <c r="P196" s="6" t="s">
        <v>44</v>
      </c>
      <c r="Q196" s="8" t="s">
        <v>45</v>
      </c>
      <c r="R196" s="10" t="s">
        <v>1329</v>
      </c>
      <c r="S196" s="11"/>
      <c r="T196" s="6"/>
      <c r="U196" s="24" t="str">
        <f>HYPERLINK("https://media.infra-m.ru/2221/2221578/cover/2221578.jpg", "Обложка")</f>
        <v>Обложка</v>
      </c>
      <c r="V196" s="24" t="str">
        <f>HYPERLINK("https://znanium.ru/catalog/product/1976101", "Ознакомиться")</f>
        <v>Ознакомиться</v>
      </c>
      <c r="W196" s="8" t="s">
        <v>418</v>
      </c>
      <c r="X196" s="6"/>
      <c r="Y196" s="6"/>
      <c r="Z196" s="6"/>
      <c r="AA196" s="6" t="s">
        <v>199</v>
      </c>
      <c r="AB196" s="8"/>
    </row>
    <row r="197" spans="1:28" s="4" customFormat="1" ht="44.1" customHeight="1">
      <c r="A197" s="5">
        <v>0</v>
      </c>
      <c r="B197" s="6" t="s">
        <v>1330</v>
      </c>
      <c r="C197" s="13">
        <v>612</v>
      </c>
      <c r="D197" s="8" t="s">
        <v>1331</v>
      </c>
      <c r="E197" s="8" t="s">
        <v>1332</v>
      </c>
      <c r="F197" s="8" t="s">
        <v>1333</v>
      </c>
      <c r="G197" s="6" t="s">
        <v>38</v>
      </c>
      <c r="H197" s="6" t="s">
        <v>1334</v>
      </c>
      <c r="I197" s="8" t="s">
        <v>40</v>
      </c>
      <c r="J197" s="9">
        <v>1</v>
      </c>
      <c r="K197" s="9">
        <v>90</v>
      </c>
      <c r="L197" s="9">
        <v>2022</v>
      </c>
      <c r="M197" s="8" t="s">
        <v>1335</v>
      </c>
      <c r="N197" s="8" t="s">
        <v>42</v>
      </c>
      <c r="O197" s="8" t="s">
        <v>189</v>
      </c>
      <c r="P197" s="6" t="s">
        <v>44</v>
      </c>
      <c r="Q197" s="8" t="s">
        <v>45</v>
      </c>
      <c r="R197" s="10" t="s">
        <v>1036</v>
      </c>
      <c r="S197" s="11"/>
      <c r="T197" s="6"/>
      <c r="U197" s="24" t="str">
        <f>HYPERLINK("https://media.infra-m.ru/1862/1862633/cover/1862633.jpg", "Обложка")</f>
        <v>Обложка</v>
      </c>
      <c r="V197" s="24" t="str">
        <f>HYPERLINK("https://znanium.ru/catalog/product/1862633", "Ознакомиться")</f>
        <v>Ознакомиться</v>
      </c>
      <c r="W197" s="8" t="s">
        <v>1336</v>
      </c>
      <c r="X197" s="6"/>
      <c r="Y197" s="6"/>
      <c r="Z197" s="6"/>
      <c r="AA197" s="6" t="s">
        <v>76</v>
      </c>
      <c r="AB197" s="8"/>
    </row>
    <row r="198" spans="1:28" s="4" customFormat="1" ht="42" customHeight="1">
      <c r="A198" s="5">
        <v>0</v>
      </c>
      <c r="B198" s="6" t="s">
        <v>1337</v>
      </c>
      <c r="C198" s="7">
        <v>1336.8</v>
      </c>
      <c r="D198" s="8" t="s">
        <v>1338</v>
      </c>
      <c r="E198" s="8" t="s">
        <v>1339</v>
      </c>
      <c r="F198" s="8" t="s">
        <v>72</v>
      </c>
      <c r="G198" s="6" t="s">
        <v>38</v>
      </c>
      <c r="H198" s="6" t="s">
        <v>39</v>
      </c>
      <c r="I198" s="8" t="s">
        <v>40</v>
      </c>
      <c r="J198" s="9">
        <v>1</v>
      </c>
      <c r="K198" s="9">
        <v>233</v>
      </c>
      <c r="L198" s="9">
        <v>2024</v>
      </c>
      <c r="M198" s="8" t="s">
        <v>1340</v>
      </c>
      <c r="N198" s="8" t="s">
        <v>54</v>
      </c>
      <c r="O198" s="8" t="s">
        <v>55</v>
      </c>
      <c r="P198" s="6" t="s">
        <v>44</v>
      </c>
      <c r="Q198" s="8" t="s">
        <v>45</v>
      </c>
      <c r="R198" s="10" t="s">
        <v>1341</v>
      </c>
      <c r="S198" s="11"/>
      <c r="T198" s="6"/>
      <c r="U198" s="24" t="str">
        <f>HYPERLINK("https://media.infra-m.ru/2136/2136049/cover/2136049.jpg", "Обложка")</f>
        <v>Обложка</v>
      </c>
      <c r="V198" s="24" t="str">
        <f>HYPERLINK("https://znanium.ru/catalog/product/2067399", "Ознакомиться")</f>
        <v>Ознакомиться</v>
      </c>
      <c r="W198" s="8" t="s">
        <v>75</v>
      </c>
      <c r="X198" s="6"/>
      <c r="Y198" s="6"/>
      <c r="Z198" s="6"/>
      <c r="AA198" s="6" t="s">
        <v>119</v>
      </c>
      <c r="AB198" s="8" t="s">
        <v>1342</v>
      </c>
    </row>
    <row r="199" spans="1:28" s="4" customFormat="1" ht="51.95" customHeight="1">
      <c r="A199" s="5">
        <v>0</v>
      </c>
      <c r="B199" s="6" t="s">
        <v>1343</v>
      </c>
      <c r="C199" s="13">
        <v>780</v>
      </c>
      <c r="D199" s="8" t="s">
        <v>1344</v>
      </c>
      <c r="E199" s="8" t="s">
        <v>1345</v>
      </c>
      <c r="F199" s="8" t="s">
        <v>1346</v>
      </c>
      <c r="G199" s="6" t="s">
        <v>38</v>
      </c>
      <c r="H199" s="6" t="s">
        <v>39</v>
      </c>
      <c r="I199" s="8" t="s">
        <v>40</v>
      </c>
      <c r="J199" s="9">
        <v>1</v>
      </c>
      <c r="K199" s="9">
        <v>106</v>
      </c>
      <c r="L199" s="9">
        <v>2024</v>
      </c>
      <c r="M199" s="8" t="s">
        <v>1347</v>
      </c>
      <c r="N199" s="8" t="s">
        <v>42</v>
      </c>
      <c r="O199" s="8" t="s">
        <v>1315</v>
      </c>
      <c r="P199" s="6" t="s">
        <v>44</v>
      </c>
      <c r="Q199" s="8" t="s">
        <v>45</v>
      </c>
      <c r="R199" s="10" t="s">
        <v>1348</v>
      </c>
      <c r="S199" s="11"/>
      <c r="T199" s="6"/>
      <c r="U199" s="24" t="str">
        <f>HYPERLINK("https://media.infra-m.ru/2141/2141207/cover/2141207.jpg", "Обложка")</f>
        <v>Обложка</v>
      </c>
      <c r="V199" s="24" t="str">
        <f>HYPERLINK("https://znanium.ru/catalog/product/2141207", "Ознакомиться")</f>
        <v>Ознакомиться</v>
      </c>
      <c r="W199" s="8" t="s">
        <v>1349</v>
      </c>
      <c r="X199" s="6"/>
      <c r="Y199" s="6"/>
      <c r="Z199" s="6"/>
      <c r="AA199" s="6" t="s">
        <v>58</v>
      </c>
      <c r="AB199" s="8" t="s">
        <v>1101</v>
      </c>
    </row>
    <row r="200" spans="1:28" s="4" customFormat="1" ht="44.1" customHeight="1">
      <c r="A200" s="5">
        <v>0</v>
      </c>
      <c r="B200" s="6" t="s">
        <v>1350</v>
      </c>
      <c r="C200" s="7">
        <v>3596.4</v>
      </c>
      <c r="D200" s="8" t="s">
        <v>1351</v>
      </c>
      <c r="E200" s="8" t="s">
        <v>1352</v>
      </c>
      <c r="F200" s="8" t="s">
        <v>1353</v>
      </c>
      <c r="G200" s="6" t="s">
        <v>132</v>
      </c>
      <c r="H200" s="6" t="s">
        <v>39</v>
      </c>
      <c r="I200" s="8" t="s">
        <v>828</v>
      </c>
      <c r="J200" s="9">
        <v>1</v>
      </c>
      <c r="K200" s="9">
        <v>726</v>
      </c>
      <c r="L200" s="9">
        <v>2026</v>
      </c>
      <c r="M200" s="8" t="s">
        <v>1354</v>
      </c>
      <c r="N200" s="8" t="s">
        <v>54</v>
      </c>
      <c r="O200" s="8" t="s">
        <v>55</v>
      </c>
      <c r="P200" s="6" t="s">
        <v>659</v>
      </c>
      <c r="Q200" s="8" t="s">
        <v>45</v>
      </c>
      <c r="R200" s="10" t="s">
        <v>1355</v>
      </c>
      <c r="S200" s="11"/>
      <c r="T200" s="6"/>
      <c r="U200" s="24" t="str">
        <f>HYPERLINK("https://media.infra-m.ru/2214/2214963/cover/2214963.jpg", "Обложка")</f>
        <v>Обложка</v>
      </c>
      <c r="V200" s="24" t="str">
        <f>HYPERLINK("https://znanium.ru/catalog/product/1031524", "Ознакомиться")</f>
        <v>Ознакомиться</v>
      </c>
      <c r="W200" s="8" t="s">
        <v>223</v>
      </c>
      <c r="X200" s="6"/>
      <c r="Y200" s="6"/>
      <c r="Z200" s="6"/>
      <c r="AA200" s="6" t="s">
        <v>1050</v>
      </c>
      <c r="AB200" s="8"/>
    </row>
    <row r="201" spans="1:28" s="4" customFormat="1" ht="51.95" customHeight="1">
      <c r="A201" s="5">
        <v>0</v>
      </c>
      <c r="B201" s="6" t="s">
        <v>1356</v>
      </c>
      <c r="C201" s="7">
        <v>1008</v>
      </c>
      <c r="D201" s="8" t="s">
        <v>1357</v>
      </c>
      <c r="E201" s="8" t="s">
        <v>1358</v>
      </c>
      <c r="F201" s="8" t="s">
        <v>1359</v>
      </c>
      <c r="G201" s="6" t="s">
        <v>81</v>
      </c>
      <c r="H201" s="6" t="s">
        <v>39</v>
      </c>
      <c r="I201" s="8" t="s">
        <v>40</v>
      </c>
      <c r="J201" s="9">
        <v>1</v>
      </c>
      <c r="K201" s="9">
        <v>219</v>
      </c>
      <c r="L201" s="9">
        <v>2022</v>
      </c>
      <c r="M201" s="8" t="s">
        <v>1360</v>
      </c>
      <c r="N201" s="8" t="s">
        <v>42</v>
      </c>
      <c r="O201" s="8" t="s">
        <v>65</v>
      </c>
      <c r="P201" s="6" t="s">
        <v>44</v>
      </c>
      <c r="Q201" s="8" t="s">
        <v>45</v>
      </c>
      <c r="R201" s="10" t="s">
        <v>1361</v>
      </c>
      <c r="S201" s="11"/>
      <c r="T201" s="6"/>
      <c r="U201" s="24" t="str">
        <f>HYPERLINK("https://media.infra-m.ru/1864/1864073/cover/1864073.jpg", "Обложка")</f>
        <v>Обложка</v>
      </c>
      <c r="V201" s="24" t="str">
        <f>HYPERLINK("https://znanium.ru/catalog/product/1864073", "Ознакомиться")</f>
        <v>Ознакомиться</v>
      </c>
      <c r="W201" s="8" t="s">
        <v>1362</v>
      </c>
      <c r="X201" s="6"/>
      <c r="Y201" s="6"/>
      <c r="Z201" s="6"/>
      <c r="AA201" s="6" t="s">
        <v>1363</v>
      </c>
      <c r="AB201" s="8"/>
    </row>
    <row r="202" spans="1:28" s="4" customFormat="1" ht="51.95" customHeight="1">
      <c r="A202" s="5">
        <v>0</v>
      </c>
      <c r="B202" s="6" t="s">
        <v>1364</v>
      </c>
      <c r="C202" s="13">
        <v>876</v>
      </c>
      <c r="D202" s="8" t="s">
        <v>1365</v>
      </c>
      <c r="E202" s="8" t="s">
        <v>1366</v>
      </c>
      <c r="F202" s="8" t="s">
        <v>1359</v>
      </c>
      <c r="G202" s="6" t="s">
        <v>81</v>
      </c>
      <c r="H202" s="6" t="s">
        <v>39</v>
      </c>
      <c r="I202" s="8" t="s">
        <v>40</v>
      </c>
      <c r="J202" s="9">
        <v>1</v>
      </c>
      <c r="K202" s="9">
        <v>196</v>
      </c>
      <c r="L202" s="9">
        <v>2021</v>
      </c>
      <c r="M202" s="8" t="s">
        <v>1367</v>
      </c>
      <c r="N202" s="8" t="s">
        <v>42</v>
      </c>
      <c r="O202" s="8" t="s">
        <v>65</v>
      </c>
      <c r="P202" s="6" t="s">
        <v>44</v>
      </c>
      <c r="Q202" s="8" t="s">
        <v>45</v>
      </c>
      <c r="R202" s="10" t="s">
        <v>1361</v>
      </c>
      <c r="S202" s="11"/>
      <c r="T202" s="6"/>
      <c r="U202" s="24" t="str">
        <f>HYPERLINK("https://media.infra-m.ru/1242/1242221/cover/1242221.jpg", "Обложка")</f>
        <v>Обложка</v>
      </c>
      <c r="V202" s="24" t="str">
        <f>HYPERLINK("https://znanium.ru/catalog/product/1864073", "Ознакомиться")</f>
        <v>Ознакомиться</v>
      </c>
      <c r="W202" s="8" t="s">
        <v>1362</v>
      </c>
      <c r="X202" s="6"/>
      <c r="Y202" s="6"/>
      <c r="Z202" s="6"/>
      <c r="AA202" s="6" t="s">
        <v>168</v>
      </c>
      <c r="AB202" s="8"/>
    </row>
    <row r="203" spans="1:28" s="4" customFormat="1" ht="42" customHeight="1">
      <c r="A203" s="5">
        <v>0</v>
      </c>
      <c r="B203" s="6" t="s">
        <v>1368</v>
      </c>
      <c r="C203" s="13">
        <v>784.8</v>
      </c>
      <c r="D203" s="8" t="s">
        <v>1369</v>
      </c>
      <c r="E203" s="8" t="s">
        <v>1370</v>
      </c>
      <c r="F203" s="8" t="s">
        <v>1371</v>
      </c>
      <c r="G203" s="6" t="s">
        <v>38</v>
      </c>
      <c r="H203" s="6" t="s">
        <v>99</v>
      </c>
      <c r="I203" s="8"/>
      <c r="J203" s="9">
        <v>1</v>
      </c>
      <c r="K203" s="9">
        <v>128</v>
      </c>
      <c r="L203" s="9">
        <v>2025</v>
      </c>
      <c r="M203" s="8" t="s">
        <v>1372</v>
      </c>
      <c r="N203" s="8" t="s">
        <v>42</v>
      </c>
      <c r="O203" s="8" t="s">
        <v>101</v>
      </c>
      <c r="P203" s="6" t="s">
        <v>44</v>
      </c>
      <c r="Q203" s="8" t="s">
        <v>45</v>
      </c>
      <c r="R203" s="10" t="s">
        <v>874</v>
      </c>
      <c r="S203" s="11"/>
      <c r="T203" s="6"/>
      <c r="U203" s="24" t="str">
        <f>HYPERLINK("https://media.infra-m.ru/2180/2180763/cover/2180763.jpg", "Обложка")</f>
        <v>Обложка</v>
      </c>
      <c r="V203" s="24" t="str">
        <f>HYPERLINK("https://znanium.ru/catalog/product/1850129", "Ознакомиться")</f>
        <v>Ознакомиться</v>
      </c>
      <c r="W203" s="8" t="s">
        <v>418</v>
      </c>
      <c r="X203" s="6"/>
      <c r="Y203" s="6"/>
      <c r="Z203" s="6"/>
      <c r="AA203" s="6" t="s">
        <v>566</v>
      </c>
      <c r="AB203" s="8"/>
    </row>
    <row r="204" spans="1:28" s="4" customFormat="1" ht="51.95" customHeight="1">
      <c r="A204" s="5">
        <v>0</v>
      </c>
      <c r="B204" s="6" t="s">
        <v>1373</v>
      </c>
      <c r="C204" s="7">
        <v>2004</v>
      </c>
      <c r="D204" s="8" t="s">
        <v>1374</v>
      </c>
      <c r="E204" s="8" t="s">
        <v>1375</v>
      </c>
      <c r="F204" s="8" t="s">
        <v>1376</v>
      </c>
      <c r="G204" s="6" t="s">
        <v>81</v>
      </c>
      <c r="H204" s="6" t="s">
        <v>39</v>
      </c>
      <c r="I204" s="8"/>
      <c r="J204" s="9">
        <v>1</v>
      </c>
      <c r="K204" s="9">
        <v>320</v>
      </c>
      <c r="L204" s="9">
        <v>2025</v>
      </c>
      <c r="M204" s="8" t="s">
        <v>1377</v>
      </c>
      <c r="N204" s="8" t="s">
        <v>42</v>
      </c>
      <c r="O204" s="8" t="s">
        <v>101</v>
      </c>
      <c r="P204" s="6" t="s">
        <v>44</v>
      </c>
      <c r="Q204" s="8" t="s">
        <v>45</v>
      </c>
      <c r="R204" s="10" t="s">
        <v>1329</v>
      </c>
      <c r="S204" s="11"/>
      <c r="T204" s="6"/>
      <c r="U204" s="24" t="str">
        <f>HYPERLINK("https://media.infra-m.ru/2203/2203360/cover/2203360.jpg", "Обложка")</f>
        <v>Обложка</v>
      </c>
      <c r="V204" s="24" t="str">
        <f>HYPERLINK("https://znanium.ru/catalog/product/2203360", "Ознакомиться")</f>
        <v>Ознакомиться</v>
      </c>
      <c r="W204" s="8" t="s">
        <v>103</v>
      </c>
      <c r="X204" s="6"/>
      <c r="Y204" s="6"/>
      <c r="Z204" s="6"/>
      <c r="AA204" s="6" t="s">
        <v>68</v>
      </c>
      <c r="AB204" s="8"/>
    </row>
    <row r="205" spans="1:28" s="4" customFormat="1" ht="51.95" customHeight="1">
      <c r="A205" s="5">
        <v>0</v>
      </c>
      <c r="B205" s="6" t="s">
        <v>1378</v>
      </c>
      <c r="C205" s="13">
        <v>616.79999999999995</v>
      </c>
      <c r="D205" s="8" t="s">
        <v>1379</v>
      </c>
      <c r="E205" s="8" t="s">
        <v>1380</v>
      </c>
      <c r="F205" s="8" t="s">
        <v>697</v>
      </c>
      <c r="G205" s="6" t="s">
        <v>38</v>
      </c>
      <c r="H205" s="6" t="s">
        <v>39</v>
      </c>
      <c r="I205" s="8" t="s">
        <v>40</v>
      </c>
      <c r="J205" s="9">
        <v>1</v>
      </c>
      <c r="K205" s="9">
        <v>115</v>
      </c>
      <c r="L205" s="9">
        <v>2023</v>
      </c>
      <c r="M205" s="8" t="s">
        <v>1381</v>
      </c>
      <c r="N205" s="8" t="s">
        <v>54</v>
      </c>
      <c r="O205" s="8" t="s">
        <v>91</v>
      </c>
      <c r="P205" s="6" t="s">
        <v>44</v>
      </c>
      <c r="Q205" s="8" t="s">
        <v>45</v>
      </c>
      <c r="R205" s="10" t="s">
        <v>1382</v>
      </c>
      <c r="S205" s="11"/>
      <c r="T205" s="6"/>
      <c r="U205" s="24" t="str">
        <f>HYPERLINK("https://media.infra-m.ru/1859/1859805/cover/1859805.jpg", "Обложка")</f>
        <v>Обложка</v>
      </c>
      <c r="V205" s="24" t="str">
        <f>HYPERLINK("https://znanium.ru/catalog/product/1081969", "Ознакомиться")</f>
        <v>Ознакомиться</v>
      </c>
      <c r="W205" s="8" t="s">
        <v>699</v>
      </c>
      <c r="X205" s="6"/>
      <c r="Y205" s="6"/>
      <c r="Z205" s="6"/>
      <c r="AA205" s="6" t="s">
        <v>339</v>
      </c>
      <c r="AB205" s="8"/>
    </row>
    <row r="206" spans="1:28" s="4" customFormat="1" ht="44.1" customHeight="1">
      <c r="A206" s="5">
        <v>0</v>
      </c>
      <c r="B206" s="6" t="s">
        <v>1383</v>
      </c>
      <c r="C206" s="7">
        <v>1248</v>
      </c>
      <c r="D206" s="8" t="s">
        <v>1384</v>
      </c>
      <c r="E206" s="8" t="s">
        <v>1385</v>
      </c>
      <c r="F206" s="8" t="s">
        <v>1386</v>
      </c>
      <c r="G206" s="6" t="s">
        <v>38</v>
      </c>
      <c r="H206" s="6" t="s">
        <v>571</v>
      </c>
      <c r="I206" s="8"/>
      <c r="J206" s="9">
        <v>1</v>
      </c>
      <c r="K206" s="9">
        <v>200</v>
      </c>
      <c r="L206" s="9">
        <v>2025</v>
      </c>
      <c r="M206" s="8" t="s">
        <v>1387</v>
      </c>
      <c r="N206" s="8" t="s">
        <v>42</v>
      </c>
      <c r="O206" s="8" t="s">
        <v>1035</v>
      </c>
      <c r="P206" s="6" t="s">
        <v>44</v>
      </c>
      <c r="Q206" s="8" t="s">
        <v>45</v>
      </c>
      <c r="R206" s="10" t="s">
        <v>1388</v>
      </c>
      <c r="S206" s="11"/>
      <c r="T206" s="6"/>
      <c r="U206" s="24" t="str">
        <f>HYPERLINK("https://media.infra-m.ru/2206/2206796/cover/2206796.jpg", "Обложка")</f>
        <v>Обложка</v>
      </c>
      <c r="V206" s="24" t="str">
        <f>HYPERLINK("https://znanium.ru/catalog/product/2206796", "Ознакомиться")</f>
        <v>Ознакомиться</v>
      </c>
      <c r="W206" s="8" t="s">
        <v>1389</v>
      </c>
      <c r="X206" s="6"/>
      <c r="Y206" s="6"/>
      <c r="Z206" s="6"/>
      <c r="AA206" s="6" t="s">
        <v>377</v>
      </c>
      <c r="AB206" s="8"/>
    </row>
    <row r="207" spans="1:28" s="4" customFormat="1" ht="51.95" customHeight="1">
      <c r="A207" s="5">
        <v>0</v>
      </c>
      <c r="B207" s="6" t="s">
        <v>1390</v>
      </c>
      <c r="C207" s="7">
        <v>1080</v>
      </c>
      <c r="D207" s="8" t="s">
        <v>1391</v>
      </c>
      <c r="E207" s="8" t="s">
        <v>1392</v>
      </c>
      <c r="F207" s="8" t="s">
        <v>1393</v>
      </c>
      <c r="G207" s="6" t="s">
        <v>38</v>
      </c>
      <c r="H207" s="6" t="s">
        <v>39</v>
      </c>
      <c r="I207" s="8" t="s">
        <v>40</v>
      </c>
      <c r="J207" s="9">
        <v>1</v>
      </c>
      <c r="K207" s="9">
        <v>186</v>
      </c>
      <c r="L207" s="9">
        <v>2024</v>
      </c>
      <c r="M207" s="8" t="s">
        <v>1394</v>
      </c>
      <c r="N207" s="8" t="s">
        <v>42</v>
      </c>
      <c r="O207" s="8" t="s">
        <v>189</v>
      </c>
      <c r="P207" s="6" t="s">
        <v>44</v>
      </c>
      <c r="Q207" s="8" t="s">
        <v>45</v>
      </c>
      <c r="R207" s="10" t="s">
        <v>1395</v>
      </c>
      <c r="S207" s="11"/>
      <c r="T207" s="6"/>
      <c r="U207" s="24" t="str">
        <f>HYPERLINK("https://media.infra-m.ru/2127/2127020/cover/2127020.jpg", "Обложка")</f>
        <v>Обложка</v>
      </c>
      <c r="V207" s="24" t="str">
        <f>HYPERLINK("https://znanium.ru/catalog/product/2127020", "Ознакомиться")</f>
        <v>Ознакомиться</v>
      </c>
      <c r="W207" s="8" t="s">
        <v>361</v>
      </c>
      <c r="X207" s="6"/>
      <c r="Y207" s="6"/>
      <c r="Z207" s="6"/>
      <c r="AA207" s="6" t="s">
        <v>58</v>
      </c>
      <c r="AB207" s="8"/>
    </row>
    <row r="208" spans="1:28" s="4" customFormat="1" ht="42" customHeight="1">
      <c r="A208" s="5">
        <v>0</v>
      </c>
      <c r="B208" s="6" t="s">
        <v>1396</v>
      </c>
      <c r="C208" s="7">
        <v>1060.8</v>
      </c>
      <c r="D208" s="8" t="s">
        <v>1397</v>
      </c>
      <c r="E208" s="8" t="s">
        <v>1398</v>
      </c>
      <c r="F208" s="8" t="s">
        <v>1399</v>
      </c>
      <c r="G208" s="6" t="s">
        <v>81</v>
      </c>
      <c r="H208" s="6" t="s">
        <v>39</v>
      </c>
      <c r="I208" s="8"/>
      <c r="J208" s="9">
        <v>1</v>
      </c>
      <c r="K208" s="9">
        <v>176</v>
      </c>
      <c r="L208" s="9">
        <v>2024</v>
      </c>
      <c r="M208" s="8" t="s">
        <v>1400</v>
      </c>
      <c r="N208" s="8" t="s">
        <v>42</v>
      </c>
      <c r="O208" s="8" t="s">
        <v>101</v>
      </c>
      <c r="P208" s="6" t="s">
        <v>1057</v>
      </c>
      <c r="Q208" s="8" t="s">
        <v>45</v>
      </c>
      <c r="R208" s="10" t="s">
        <v>269</v>
      </c>
      <c r="S208" s="11"/>
      <c r="T208" s="6"/>
      <c r="U208" s="24" t="str">
        <f>HYPERLINK("https://media.infra-m.ru/2085/2085097/cover/2085097.jpg", "Обложка")</f>
        <v>Обложка</v>
      </c>
      <c r="V208" s="24" t="str">
        <f>HYPERLINK("https://znanium.ru/catalog/product/1895645", "Ознакомиться")</f>
        <v>Ознакомиться</v>
      </c>
      <c r="W208" s="8" t="s">
        <v>103</v>
      </c>
      <c r="X208" s="6"/>
      <c r="Y208" s="6"/>
      <c r="Z208" s="6"/>
      <c r="AA208" s="6" t="s">
        <v>168</v>
      </c>
      <c r="AB208" s="8"/>
    </row>
    <row r="209" spans="1:28" s="4" customFormat="1" ht="44.1" customHeight="1">
      <c r="A209" s="5">
        <v>0</v>
      </c>
      <c r="B209" s="6" t="s">
        <v>1401</v>
      </c>
      <c r="C209" s="7">
        <v>1440</v>
      </c>
      <c r="D209" s="8" t="s">
        <v>1402</v>
      </c>
      <c r="E209" s="8" t="s">
        <v>1403</v>
      </c>
      <c r="F209" s="8" t="s">
        <v>1404</v>
      </c>
      <c r="G209" s="6" t="s">
        <v>38</v>
      </c>
      <c r="H209" s="6" t="s">
        <v>39</v>
      </c>
      <c r="I209" s="8" t="s">
        <v>40</v>
      </c>
      <c r="J209" s="9">
        <v>1</v>
      </c>
      <c r="K209" s="9">
        <v>229</v>
      </c>
      <c r="L209" s="9">
        <v>2025</v>
      </c>
      <c r="M209" s="8" t="s">
        <v>1405</v>
      </c>
      <c r="N209" s="8" t="s">
        <v>42</v>
      </c>
      <c r="O209" s="8" t="s">
        <v>65</v>
      </c>
      <c r="P209" s="6" t="s">
        <v>44</v>
      </c>
      <c r="Q209" s="8" t="s">
        <v>45</v>
      </c>
      <c r="R209" s="10" t="s">
        <v>1406</v>
      </c>
      <c r="S209" s="11"/>
      <c r="T209" s="6"/>
      <c r="U209" s="24" t="str">
        <f>HYPERLINK("https://media.infra-m.ru/2206/2206788/cover/2206788.jpg", "Обложка")</f>
        <v>Обложка</v>
      </c>
      <c r="V209" s="24" t="str">
        <f>HYPERLINK("https://znanium.ru/catalog/product/2206788", "Ознакомиться")</f>
        <v>Ознакомиться</v>
      </c>
      <c r="W209" s="8" t="s">
        <v>361</v>
      </c>
      <c r="X209" s="6"/>
      <c r="Y209" s="6"/>
      <c r="Z209" s="6"/>
      <c r="AA209" s="6" t="s">
        <v>168</v>
      </c>
      <c r="AB209" s="8"/>
    </row>
    <row r="210" spans="1:28" s="4" customFormat="1" ht="44.1" customHeight="1">
      <c r="A210" s="5">
        <v>0</v>
      </c>
      <c r="B210" s="6" t="s">
        <v>1407</v>
      </c>
      <c r="C210" s="7">
        <v>1824</v>
      </c>
      <c r="D210" s="8" t="s">
        <v>1408</v>
      </c>
      <c r="E210" s="8" t="s">
        <v>1409</v>
      </c>
      <c r="F210" s="8" t="s">
        <v>1410</v>
      </c>
      <c r="G210" s="6" t="s">
        <v>81</v>
      </c>
      <c r="H210" s="6" t="s">
        <v>571</v>
      </c>
      <c r="I210" s="8"/>
      <c r="J210" s="9">
        <v>1</v>
      </c>
      <c r="K210" s="9">
        <v>336</v>
      </c>
      <c r="L210" s="9">
        <v>2023</v>
      </c>
      <c r="M210" s="8" t="s">
        <v>1411</v>
      </c>
      <c r="N210" s="8" t="s">
        <v>42</v>
      </c>
      <c r="O210" s="8" t="s">
        <v>189</v>
      </c>
      <c r="P210" s="6" t="s">
        <v>239</v>
      </c>
      <c r="Q210" s="8" t="s">
        <v>416</v>
      </c>
      <c r="R210" s="10" t="s">
        <v>1412</v>
      </c>
      <c r="S210" s="11"/>
      <c r="T210" s="6"/>
      <c r="U210" s="24" t="str">
        <f>HYPERLINK("https://media.infra-m.ru/1912/1912966/cover/1912966.jpg", "Обложка")</f>
        <v>Обложка</v>
      </c>
      <c r="V210" s="24" t="str">
        <f>HYPERLINK("https://znanium.ru/catalog/product/1239144", "Ознакомиться")</f>
        <v>Ознакомиться</v>
      </c>
      <c r="W210" s="8" t="s">
        <v>1413</v>
      </c>
      <c r="X210" s="6"/>
      <c r="Y210" s="6"/>
      <c r="Z210" s="6"/>
      <c r="AA210" s="6" t="s">
        <v>199</v>
      </c>
      <c r="AB210" s="8"/>
    </row>
    <row r="211" spans="1:28" s="4" customFormat="1" ht="42" customHeight="1">
      <c r="A211" s="5">
        <v>0</v>
      </c>
      <c r="B211" s="6" t="s">
        <v>1414</v>
      </c>
      <c r="C211" s="13">
        <v>852</v>
      </c>
      <c r="D211" s="8" t="s">
        <v>1415</v>
      </c>
      <c r="E211" s="8" t="s">
        <v>1416</v>
      </c>
      <c r="F211" s="8" t="s">
        <v>1417</v>
      </c>
      <c r="G211" s="6" t="s">
        <v>38</v>
      </c>
      <c r="H211" s="6" t="s">
        <v>39</v>
      </c>
      <c r="I211" s="8" t="s">
        <v>40</v>
      </c>
      <c r="J211" s="9">
        <v>1</v>
      </c>
      <c r="K211" s="9">
        <v>172</v>
      </c>
      <c r="L211" s="9">
        <v>2022</v>
      </c>
      <c r="M211" s="8" t="s">
        <v>1418</v>
      </c>
      <c r="N211" s="8" t="s">
        <v>42</v>
      </c>
      <c r="O211" s="8" t="s">
        <v>189</v>
      </c>
      <c r="P211" s="6" t="s">
        <v>44</v>
      </c>
      <c r="Q211" s="8" t="s">
        <v>45</v>
      </c>
      <c r="R211" s="10" t="s">
        <v>1419</v>
      </c>
      <c r="S211" s="11"/>
      <c r="T211" s="6"/>
      <c r="U211" s="24" t="str">
        <f>HYPERLINK("https://media.infra-m.ru/1856/1856938/cover/1856938.jpg", "Обложка")</f>
        <v>Обложка</v>
      </c>
      <c r="V211" s="24" t="str">
        <f>HYPERLINK("https://znanium.ru/catalog/product/1856938", "Ознакомиться")</f>
        <v>Ознакомиться</v>
      </c>
      <c r="W211" s="8" t="s">
        <v>1420</v>
      </c>
      <c r="X211" s="6"/>
      <c r="Y211" s="6"/>
      <c r="Z211" s="6"/>
      <c r="AA211" s="6" t="s">
        <v>76</v>
      </c>
      <c r="AB211" s="8"/>
    </row>
    <row r="212" spans="1:28" s="4" customFormat="1" ht="42" customHeight="1">
      <c r="A212" s="5">
        <v>0</v>
      </c>
      <c r="B212" s="6" t="s">
        <v>1421</v>
      </c>
      <c r="C212" s="7">
        <v>1092</v>
      </c>
      <c r="D212" s="8" t="s">
        <v>1422</v>
      </c>
      <c r="E212" s="8" t="s">
        <v>1423</v>
      </c>
      <c r="F212" s="8" t="s">
        <v>1424</v>
      </c>
      <c r="G212" s="6" t="s">
        <v>38</v>
      </c>
      <c r="H212" s="6" t="s">
        <v>39</v>
      </c>
      <c r="I212" s="8" t="s">
        <v>40</v>
      </c>
      <c r="J212" s="9">
        <v>1</v>
      </c>
      <c r="K212" s="9">
        <v>181</v>
      </c>
      <c r="L212" s="9">
        <v>2025</v>
      </c>
      <c r="M212" s="8" t="s">
        <v>1425</v>
      </c>
      <c r="N212" s="8" t="s">
        <v>42</v>
      </c>
      <c r="O212" s="8" t="s">
        <v>189</v>
      </c>
      <c r="P212" s="6" t="s">
        <v>44</v>
      </c>
      <c r="Q212" s="8" t="s">
        <v>45</v>
      </c>
      <c r="R212" s="10" t="s">
        <v>1426</v>
      </c>
      <c r="S212" s="11"/>
      <c r="T212" s="6"/>
      <c r="U212" s="24" t="str">
        <f>HYPERLINK("https://media.infra-m.ru/2143/2143086/cover/2143086.jpg", "Обложка")</f>
        <v>Обложка</v>
      </c>
      <c r="V212" s="24" t="str">
        <f>HYPERLINK("https://znanium.ru/catalog/product/2143086", "Ознакомиться")</f>
        <v>Ознакомиться</v>
      </c>
      <c r="W212" s="8" t="s">
        <v>1413</v>
      </c>
      <c r="X212" s="6"/>
      <c r="Y212" s="6"/>
      <c r="Z212" s="6"/>
      <c r="AA212" s="6" t="s">
        <v>159</v>
      </c>
      <c r="AB212" s="8"/>
    </row>
    <row r="213" spans="1:28" s="4" customFormat="1" ht="42" customHeight="1">
      <c r="A213" s="5">
        <v>0</v>
      </c>
      <c r="B213" s="6" t="s">
        <v>1427</v>
      </c>
      <c r="C213" s="13">
        <v>804</v>
      </c>
      <c r="D213" s="8" t="s">
        <v>1428</v>
      </c>
      <c r="E213" s="8" t="s">
        <v>1429</v>
      </c>
      <c r="F213" s="8" t="s">
        <v>1430</v>
      </c>
      <c r="G213" s="6" t="s">
        <v>81</v>
      </c>
      <c r="H213" s="6" t="s">
        <v>39</v>
      </c>
      <c r="I213" s="8" t="s">
        <v>344</v>
      </c>
      <c r="J213" s="9">
        <v>1</v>
      </c>
      <c r="K213" s="9">
        <v>172</v>
      </c>
      <c r="L213" s="9">
        <v>2022</v>
      </c>
      <c r="M213" s="8" t="s">
        <v>1431</v>
      </c>
      <c r="N213" s="8" t="s">
        <v>284</v>
      </c>
      <c r="O213" s="8" t="s">
        <v>285</v>
      </c>
      <c r="P213" s="6" t="s">
        <v>44</v>
      </c>
      <c r="Q213" s="8" t="s">
        <v>45</v>
      </c>
      <c r="R213" s="10" t="s">
        <v>1432</v>
      </c>
      <c r="S213" s="11"/>
      <c r="T213" s="6"/>
      <c r="U213" s="24" t="str">
        <f>HYPERLINK("https://media.infra-m.ru/1854/1854742/cover/1854742.jpg", "Обложка")</f>
        <v>Обложка</v>
      </c>
      <c r="V213" s="12"/>
      <c r="W213" s="8" t="s">
        <v>346</v>
      </c>
      <c r="X213" s="6"/>
      <c r="Y213" s="6"/>
      <c r="Z213" s="6"/>
      <c r="AA213" s="6" t="s">
        <v>68</v>
      </c>
      <c r="AB213" s="8"/>
    </row>
    <row r="214" spans="1:28" s="4" customFormat="1" ht="42" customHeight="1">
      <c r="A214" s="5">
        <v>0</v>
      </c>
      <c r="B214" s="6" t="s">
        <v>1433</v>
      </c>
      <c r="C214" s="7">
        <v>2436</v>
      </c>
      <c r="D214" s="8" t="s">
        <v>1434</v>
      </c>
      <c r="E214" s="8" t="s">
        <v>1435</v>
      </c>
      <c r="F214" s="8" t="s">
        <v>1436</v>
      </c>
      <c r="G214" s="6" t="s">
        <v>81</v>
      </c>
      <c r="H214" s="6" t="s">
        <v>39</v>
      </c>
      <c r="I214" s="8" t="s">
        <v>40</v>
      </c>
      <c r="J214" s="9">
        <v>1</v>
      </c>
      <c r="K214" s="9">
        <v>384</v>
      </c>
      <c r="L214" s="9">
        <v>2026</v>
      </c>
      <c r="M214" s="8" t="s">
        <v>1437</v>
      </c>
      <c r="N214" s="8" t="s">
        <v>42</v>
      </c>
      <c r="O214" s="8" t="s">
        <v>189</v>
      </c>
      <c r="P214" s="6" t="s">
        <v>44</v>
      </c>
      <c r="Q214" s="8" t="s">
        <v>45</v>
      </c>
      <c r="R214" s="10" t="s">
        <v>902</v>
      </c>
      <c r="S214" s="11"/>
      <c r="T214" s="6"/>
      <c r="U214" s="24" t="str">
        <f>HYPERLINK("https://media.infra-m.ru/2216/2216869/cover/2216869.jpg", "Обложка")</f>
        <v>Обложка</v>
      </c>
      <c r="V214" s="24" t="str">
        <f>HYPERLINK("https://znanium.ru/catalog/product/2216869", "Ознакомиться")</f>
        <v>Ознакомиться</v>
      </c>
      <c r="W214" s="8"/>
      <c r="X214" s="6"/>
      <c r="Y214" s="6"/>
      <c r="Z214" s="6"/>
      <c r="AA214" s="6" t="s">
        <v>377</v>
      </c>
      <c r="AB214" s="8"/>
    </row>
    <row r="215" spans="1:28" s="4" customFormat="1" ht="44.1" customHeight="1">
      <c r="A215" s="5">
        <v>0</v>
      </c>
      <c r="B215" s="6" t="s">
        <v>1438</v>
      </c>
      <c r="C215" s="13">
        <v>696</v>
      </c>
      <c r="D215" s="8" t="s">
        <v>1439</v>
      </c>
      <c r="E215" s="8" t="s">
        <v>1440</v>
      </c>
      <c r="F215" s="8" t="s">
        <v>1441</v>
      </c>
      <c r="G215" s="6" t="s">
        <v>38</v>
      </c>
      <c r="H215" s="6" t="s">
        <v>1019</v>
      </c>
      <c r="I215" s="8" t="s">
        <v>1442</v>
      </c>
      <c r="J215" s="9">
        <v>1</v>
      </c>
      <c r="K215" s="9">
        <v>114</v>
      </c>
      <c r="L215" s="9">
        <v>2024</v>
      </c>
      <c r="M215" s="8" t="s">
        <v>1443</v>
      </c>
      <c r="N215" s="8" t="s">
        <v>42</v>
      </c>
      <c r="O215" s="8" t="s">
        <v>189</v>
      </c>
      <c r="P215" s="6" t="s">
        <v>44</v>
      </c>
      <c r="Q215" s="8" t="s">
        <v>45</v>
      </c>
      <c r="R215" s="10" t="s">
        <v>1444</v>
      </c>
      <c r="S215" s="11"/>
      <c r="T215" s="6"/>
      <c r="U215" s="24" t="str">
        <f>HYPERLINK("https://media.infra-m.ru/2073/2073423/cover/2073423.jpg", "Обложка")</f>
        <v>Обложка</v>
      </c>
      <c r="V215" s="24" t="str">
        <f>HYPERLINK("https://znanium.ru/catalog/product/2073423", "Ознакомиться")</f>
        <v>Ознакомиться</v>
      </c>
      <c r="W215" s="8" t="s">
        <v>167</v>
      </c>
      <c r="X215" s="6"/>
      <c r="Y215" s="6"/>
      <c r="Z215" s="6"/>
      <c r="AA215" s="6" t="s">
        <v>377</v>
      </c>
      <c r="AB215" s="8"/>
    </row>
    <row r="216" spans="1:28" s="4" customFormat="1" ht="42" customHeight="1">
      <c r="A216" s="5">
        <v>0</v>
      </c>
      <c r="B216" s="6" t="s">
        <v>1445</v>
      </c>
      <c r="C216" s="7">
        <v>2475.6</v>
      </c>
      <c r="D216" s="8" t="s">
        <v>1446</v>
      </c>
      <c r="E216" s="8" t="s">
        <v>1447</v>
      </c>
      <c r="F216" s="8" t="s">
        <v>1448</v>
      </c>
      <c r="G216" s="6" t="s">
        <v>132</v>
      </c>
      <c r="H216" s="6" t="s">
        <v>99</v>
      </c>
      <c r="I216" s="8"/>
      <c r="J216" s="9">
        <v>1</v>
      </c>
      <c r="K216" s="9">
        <v>400</v>
      </c>
      <c r="L216" s="9">
        <v>2022</v>
      </c>
      <c r="M216" s="8" t="s">
        <v>1449</v>
      </c>
      <c r="N216" s="8" t="s">
        <v>42</v>
      </c>
      <c r="O216" s="8" t="s">
        <v>189</v>
      </c>
      <c r="P216" s="6" t="s">
        <v>44</v>
      </c>
      <c r="Q216" s="8" t="s">
        <v>45</v>
      </c>
      <c r="R216" s="10" t="s">
        <v>1450</v>
      </c>
      <c r="S216" s="11"/>
      <c r="T216" s="6"/>
      <c r="U216" s="24" t="str">
        <f>HYPERLINK("https://media.infra-m.ru/1894/1894392/cover/1894392.jpg", "Обложка")</f>
        <v>Обложка</v>
      </c>
      <c r="V216" s="24" t="str">
        <f>HYPERLINK("https://znanium.ru/catalog/product/1877330", "Ознакомиться")</f>
        <v>Ознакомиться</v>
      </c>
      <c r="W216" s="8" t="s">
        <v>418</v>
      </c>
      <c r="X216" s="6"/>
      <c r="Y216" s="6"/>
      <c r="Z216" s="6"/>
      <c r="AA216" s="6" t="s">
        <v>111</v>
      </c>
      <c r="AB216" s="8"/>
    </row>
    <row r="217" spans="1:28" s="4" customFormat="1" ht="51.95" customHeight="1">
      <c r="A217" s="5">
        <v>0</v>
      </c>
      <c r="B217" s="6" t="s">
        <v>1451</v>
      </c>
      <c r="C217" s="13">
        <v>972</v>
      </c>
      <c r="D217" s="8" t="s">
        <v>1452</v>
      </c>
      <c r="E217" s="8" t="s">
        <v>1453</v>
      </c>
      <c r="F217" s="8" t="s">
        <v>1454</v>
      </c>
      <c r="G217" s="6" t="s">
        <v>38</v>
      </c>
      <c r="H217" s="6" t="s">
        <v>39</v>
      </c>
      <c r="I217" s="8" t="s">
        <v>40</v>
      </c>
      <c r="J217" s="9">
        <v>1</v>
      </c>
      <c r="K217" s="9">
        <v>176</v>
      </c>
      <c r="L217" s="9">
        <v>2024</v>
      </c>
      <c r="M217" s="8" t="s">
        <v>1455</v>
      </c>
      <c r="N217" s="8" t="s">
        <v>42</v>
      </c>
      <c r="O217" s="8" t="s">
        <v>101</v>
      </c>
      <c r="P217" s="6" t="s">
        <v>44</v>
      </c>
      <c r="Q217" s="8" t="s">
        <v>45</v>
      </c>
      <c r="R217" s="10" t="s">
        <v>1456</v>
      </c>
      <c r="S217" s="11"/>
      <c r="T217" s="6"/>
      <c r="U217" s="24" t="str">
        <f>HYPERLINK("https://media.infra-m.ru/2079/2079620/cover/2079620.jpg", "Обложка")</f>
        <v>Обложка</v>
      </c>
      <c r="V217" s="24" t="str">
        <f>HYPERLINK("https://znanium.ru/catalog/product/2079620", "Ознакомиться")</f>
        <v>Ознакомиться</v>
      </c>
      <c r="W217" s="8" t="s">
        <v>1457</v>
      </c>
      <c r="X217" s="6"/>
      <c r="Y217" s="6"/>
      <c r="Z217" s="6"/>
      <c r="AA217" s="6" t="s">
        <v>290</v>
      </c>
      <c r="AB217" s="8"/>
    </row>
    <row r="218" spans="1:28" s="4" customFormat="1" ht="44.1" customHeight="1">
      <c r="A218" s="5">
        <v>0</v>
      </c>
      <c r="B218" s="6" t="s">
        <v>1458</v>
      </c>
      <c r="C218" s="13">
        <v>744</v>
      </c>
      <c r="D218" s="8" t="s">
        <v>1459</v>
      </c>
      <c r="E218" s="8" t="s">
        <v>1460</v>
      </c>
      <c r="F218" s="8" t="s">
        <v>1461</v>
      </c>
      <c r="G218" s="6" t="s">
        <v>38</v>
      </c>
      <c r="H218" s="6" t="s">
        <v>39</v>
      </c>
      <c r="I218" s="8" t="s">
        <v>40</v>
      </c>
      <c r="J218" s="9">
        <v>1</v>
      </c>
      <c r="K218" s="9">
        <v>181</v>
      </c>
      <c r="L218" s="9">
        <v>2019</v>
      </c>
      <c r="M218" s="8" t="s">
        <v>1462</v>
      </c>
      <c r="N218" s="8" t="s">
        <v>42</v>
      </c>
      <c r="O218" s="8" t="s">
        <v>189</v>
      </c>
      <c r="P218" s="6" t="s">
        <v>44</v>
      </c>
      <c r="Q218" s="8" t="s">
        <v>45</v>
      </c>
      <c r="R218" s="10" t="s">
        <v>1463</v>
      </c>
      <c r="S218" s="11"/>
      <c r="T218" s="6"/>
      <c r="U218" s="24" t="str">
        <f>HYPERLINK("https://media.infra-m.ru/1009/1009609/cover/1009609.jpg", "Обложка")</f>
        <v>Обложка</v>
      </c>
      <c r="V218" s="24" t="str">
        <f>HYPERLINK("https://znanium.ru/catalog/product/1009609", "Ознакомиться")</f>
        <v>Ознакомиться</v>
      </c>
      <c r="W218" s="8" t="s">
        <v>509</v>
      </c>
      <c r="X218" s="6"/>
      <c r="Y218" s="6"/>
      <c r="Z218" s="6"/>
      <c r="AA218" s="6" t="s">
        <v>339</v>
      </c>
      <c r="AB218" s="8"/>
    </row>
    <row r="219" spans="1:28" s="4" customFormat="1" ht="51.95" customHeight="1">
      <c r="A219" s="5">
        <v>0</v>
      </c>
      <c r="B219" s="6" t="s">
        <v>1464</v>
      </c>
      <c r="C219" s="7">
        <v>1296</v>
      </c>
      <c r="D219" s="8" t="s">
        <v>1465</v>
      </c>
      <c r="E219" s="8" t="s">
        <v>1466</v>
      </c>
      <c r="F219" s="8" t="s">
        <v>1467</v>
      </c>
      <c r="G219" s="6" t="s">
        <v>38</v>
      </c>
      <c r="H219" s="6" t="s">
        <v>39</v>
      </c>
      <c r="I219" s="8" t="s">
        <v>40</v>
      </c>
      <c r="J219" s="9">
        <v>1</v>
      </c>
      <c r="K219" s="9">
        <v>215</v>
      </c>
      <c r="L219" s="9">
        <v>2025</v>
      </c>
      <c r="M219" s="8" t="s">
        <v>1468</v>
      </c>
      <c r="N219" s="8" t="s">
        <v>42</v>
      </c>
      <c r="O219" s="8" t="s">
        <v>101</v>
      </c>
      <c r="P219" s="6" t="s">
        <v>44</v>
      </c>
      <c r="Q219" s="8" t="s">
        <v>45</v>
      </c>
      <c r="R219" s="10" t="s">
        <v>1469</v>
      </c>
      <c r="S219" s="11"/>
      <c r="T219" s="6"/>
      <c r="U219" s="24" t="str">
        <f>HYPERLINK("https://media.infra-m.ru/2172/2172578/cover/2172578.jpg", "Обложка")</f>
        <v>Обложка</v>
      </c>
      <c r="V219" s="24" t="str">
        <f>HYPERLINK("https://znanium.ru/catalog/product/2172578", "Ознакомиться")</f>
        <v>Ознакомиться</v>
      </c>
      <c r="W219" s="8" t="s">
        <v>223</v>
      </c>
      <c r="X219" s="6"/>
      <c r="Y219" s="6"/>
      <c r="Z219" s="6"/>
      <c r="AA219" s="6" t="s">
        <v>111</v>
      </c>
      <c r="AB219" s="8"/>
    </row>
    <row r="220" spans="1:28" s="4" customFormat="1" ht="42" customHeight="1">
      <c r="A220" s="5">
        <v>0</v>
      </c>
      <c r="B220" s="6" t="s">
        <v>1470</v>
      </c>
      <c r="C220" s="13">
        <v>998.3</v>
      </c>
      <c r="D220" s="8" t="s">
        <v>1471</v>
      </c>
      <c r="E220" s="8" t="s">
        <v>1472</v>
      </c>
      <c r="F220" s="8" t="s">
        <v>1473</v>
      </c>
      <c r="G220" s="6" t="s">
        <v>132</v>
      </c>
      <c r="H220" s="6" t="s">
        <v>571</v>
      </c>
      <c r="I220" s="8"/>
      <c r="J220" s="9">
        <v>1</v>
      </c>
      <c r="K220" s="9">
        <v>160</v>
      </c>
      <c r="L220" s="9">
        <v>2017</v>
      </c>
      <c r="M220" s="8" t="s">
        <v>1474</v>
      </c>
      <c r="N220" s="8" t="s">
        <v>42</v>
      </c>
      <c r="O220" s="8" t="s">
        <v>189</v>
      </c>
      <c r="P220" s="6" t="s">
        <v>44</v>
      </c>
      <c r="Q220" s="8" t="s">
        <v>45</v>
      </c>
      <c r="R220" s="10" t="s">
        <v>1426</v>
      </c>
      <c r="S220" s="11"/>
      <c r="T220" s="6"/>
      <c r="U220" s="24" t="str">
        <f>HYPERLINK("https://media.infra-m.ru/0858/0858883/cover/858883.jpg", "Обложка")</f>
        <v>Обложка</v>
      </c>
      <c r="V220" s="24" t="str">
        <f>HYPERLINK("https://znanium.ru/catalog/product/858883", "Ознакомиться")</f>
        <v>Ознакомиться</v>
      </c>
      <c r="W220" s="8" t="s">
        <v>1475</v>
      </c>
      <c r="X220" s="6"/>
      <c r="Y220" s="6"/>
      <c r="Z220" s="6"/>
      <c r="AA220" s="6" t="s">
        <v>339</v>
      </c>
      <c r="AB220" s="8"/>
    </row>
    <row r="221" spans="1:28" s="4" customFormat="1" ht="42" customHeight="1">
      <c r="A221" s="5">
        <v>0</v>
      </c>
      <c r="B221" s="6" t="s">
        <v>1476</v>
      </c>
      <c r="C221" s="7">
        <v>1168.8</v>
      </c>
      <c r="D221" s="8" t="s">
        <v>1477</v>
      </c>
      <c r="E221" s="8" t="s">
        <v>1478</v>
      </c>
      <c r="F221" s="8" t="s">
        <v>1479</v>
      </c>
      <c r="G221" s="6" t="s">
        <v>38</v>
      </c>
      <c r="H221" s="6" t="s">
        <v>39</v>
      </c>
      <c r="I221" s="8"/>
      <c r="J221" s="9">
        <v>1</v>
      </c>
      <c r="K221" s="9">
        <v>187</v>
      </c>
      <c r="L221" s="9">
        <v>2025</v>
      </c>
      <c r="M221" s="8" t="s">
        <v>1480</v>
      </c>
      <c r="N221" s="8" t="s">
        <v>42</v>
      </c>
      <c r="O221" s="8" t="s">
        <v>65</v>
      </c>
      <c r="P221" s="6" t="s">
        <v>44</v>
      </c>
      <c r="Q221" s="8" t="s">
        <v>45</v>
      </c>
      <c r="R221" s="10" t="s">
        <v>1481</v>
      </c>
      <c r="S221" s="11"/>
      <c r="T221" s="6"/>
      <c r="U221" s="24" t="str">
        <f>HYPERLINK("https://media.infra-m.ru/2208/2208440/cover/2208440.jpg", "Обложка")</f>
        <v>Обложка</v>
      </c>
      <c r="V221" s="24" t="str">
        <f>HYPERLINK("https://znanium.ru/catalog/product/1993651", "Ознакомиться")</f>
        <v>Ознакомиться</v>
      </c>
      <c r="W221" s="8" t="s">
        <v>846</v>
      </c>
      <c r="X221" s="6"/>
      <c r="Y221" s="6"/>
      <c r="Z221" s="6"/>
      <c r="AA221" s="6" t="s">
        <v>168</v>
      </c>
      <c r="AB221" s="8"/>
    </row>
    <row r="222" spans="1:28" s="4" customFormat="1" ht="42" customHeight="1">
      <c r="A222" s="5">
        <v>0</v>
      </c>
      <c r="B222" s="6" t="s">
        <v>1482</v>
      </c>
      <c r="C222" s="7">
        <v>1740</v>
      </c>
      <c r="D222" s="8" t="s">
        <v>1483</v>
      </c>
      <c r="E222" s="8" t="s">
        <v>1484</v>
      </c>
      <c r="F222" s="8" t="s">
        <v>1485</v>
      </c>
      <c r="G222" s="6" t="s">
        <v>132</v>
      </c>
      <c r="H222" s="6" t="s">
        <v>39</v>
      </c>
      <c r="I222" s="8" t="s">
        <v>40</v>
      </c>
      <c r="J222" s="9">
        <v>1</v>
      </c>
      <c r="K222" s="9">
        <v>340</v>
      </c>
      <c r="L222" s="9">
        <v>2022</v>
      </c>
      <c r="M222" s="8" t="s">
        <v>1486</v>
      </c>
      <c r="N222" s="8" t="s">
        <v>54</v>
      </c>
      <c r="O222" s="8" t="s">
        <v>55</v>
      </c>
      <c r="P222" s="6" t="s">
        <v>44</v>
      </c>
      <c r="Q222" s="8" t="s">
        <v>45</v>
      </c>
      <c r="R222" s="10" t="s">
        <v>1487</v>
      </c>
      <c r="S222" s="11"/>
      <c r="T222" s="6"/>
      <c r="U222" s="24" t="str">
        <f>HYPERLINK("https://media.infra-m.ru/1841/1841827/cover/1841827.jpg", "Обложка")</f>
        <v>Обложка</v>
      </c>
      <c r="V222" s="24" t="str">
        <f>HYPERLINK("https://znanium.ru/catalog/product/1841827", "Ознакомиться")</f>
        <v>Ознакомиться</v>
      </c>
      <c r="W222" s="8" t="s">
        <v>641</v>
      </c>
      <c r="X222" s="6"/>
      <c r="Y222" s="6"/>
      <c r="Z222" s="6"/>
      <c r="AA222" s="6" t="s">
        <v>111</v>
      </c>
      <c r="AB222" s="8"/>
    </row>
    <row r="223" spans="1:28" s="4" customFormat="1" ht="42" customHeight="1">
      <c r="A223" s="5">
        <v>0</v>
      </c>
      <c r="B223" s="6" t="s">
        <v>1488</v>
      </c>
      <c r="C223" s="7">
        <v>2640</v>
      </c>
      <c r="D223" s="8" t="s">
        <v>1489</v>
      </c>
      <c r="E223" s="8" t="s">
        <v>1490</v>
      </c>
      <c r="F223" s="8" t="s">
        <v>1491</v>
      </c>
      <c r="G223" s="6" t="s">
        <v>81</v>
      </c>
      <c r="H223" s="6" t="s">
        <v>39</v>
      </c>
      <c r="I223" s="8" t="s">
        <v>40</v>
      </c>
      <c r="J223" s="9">
        <v>1</v>
      </c>
      <c r="K223" s="9">
        <v>583</v>
      </c>
      <c r="L223" s="9">
        <v>2022</v>
      </c>
      <c r="M223" s="8" t="s">
        <v>1492</v>
      </c>
      <c r="N223" s="8" t="s">
        <v>284</v>
      </c>
      <c r="O223" s="8" t="s">
        <v>285</v>
      </c>
      <c r="P223" s="6" t="s">
        <v>44</v>
      </c>
      <c r="Q223" s="8" t="s">
        <v>45</v>
      </c>
      <c r="R223" s="10" t="s">
        <v>1493</v>
      </c>
      <c r="S223" s="11"/>
      <c r="T223" s="6"/>
      <c r="U223" s="24" t="str">
        <f>HYPERLINK("https://media.infra-m.ru/1860/1860364/cover/1860364.jpg", "Обложка")</f>
        <v>Обложка</v>
      </c>
      <c r="V223" s="24" t="str">
        <f>HYPERLINK("https://znanium.ru/catalog/product/1860364", "Ознакомиться")</f>
        <v>Ознакомиться</v>
      </c>
      <c r="W223" s="8" t="s">
        <v>1323</v>
      </c>
      <c r="X223" s="6"/>
      <c r="Y223" s="6"/>
      <c r="Z223" s="6"/>
      <c r="AA223" s="6" t="s">
        <v>1494</v>
      </c>
      <c r="AB223" s="8"/>
    </row>
    <row r="224" spans="1:28" s="4" customFormat="1" ht="42" customHeight="1">
      <c r="A224" s="5">
        <v>0</v>
      </c>
      <c r="B224" s="6" t="s">
        <v>1495</v>
      </c>
      <c r="C224" s="13">
        <v>712.8</v>
      </c>
      <c r="D224" s="8" t="s">
        <v>1496</v>
      </c>
      <c r="E224" s="8" t="s">
        <v>1497</v>
      </c>
      <c r="F224" s="8" t="s">
        <v>1498</v>
      </c>
      <c r="G224" s="6" t="s">
        <v>38</v>
      </c>
      <c r="H224" s="6" t="s">
        <v>39</v>
      </c>
      <c r="I224" s="8" t="s">
        <v>1193</v>
      </c>
      <c r="J224" s="9">
        <v>1</v>
      </c>
      <c r="K224" s="9">
        <v>110</v>
      </c>
      <c r="L224" s="9">
        <v>2026</v>
      </c>
      <c r="M224" s="8" t="s">
        <v>1499</v>
      </c>
      <c r="N224" s="8" t="s">
        <v>284</v>
      </c>
      <c r="O224" s="8" t="s">
        <v>717</v>
      </c>
      <c r="P224" s="6" t="s">
        <v>659</v>
      </c>
      <c r="Q224" s="8" t="s">
        <v>45</v>
      </c>
      <c r="R224" s="10" t="s">
        <v>1500</v>
      </c>
      <c r="S224" s="11"/>
      <c r="T224" s="6"/>
      <c r="U224" s="24" t="str">
        <f>HYPERLINK("https://media.infra-m.ru/2213/2213198/cover/2213198.jpg", "Обложка")</f>
        <v>Обложка</v>
      </c>
      <c r="V224" s="24" t="str">
        <f>HYPERLINK("https://znanium.ru/catalog/product/2030818", "Ознакомиться")</f>
        <v>Ознакомиться</v>
      </c>
      <c r="W224" s="8" t="s">
        <v>1501</v>
      </c>
      <c r="X224" s="6"/>
      <c r="Y224" s="6"/>
      <c r="Z224" s="6"/>
      <c r="AA224" s="6" t="s">
        <v>48</v>
      </c>
      <c r="AB224" s="8"/>
    </row>
    <row r="225" spans="1:28" s="4" customFormat="1" ht="51.95" customHeight="1">
      <c r="A225" s="5">
        <v>0</v>
      </c>
      <c r="B225" s="6" t="s">
        <v>1502</v>
      </c>
      <c r="C225" s="13">
        <v>648</v>
      </c>
      <c r="D225" s="8" t="s">
        <v>1503</v>
      </c>
      <c r="E225" s="8" t="s">
        <v>1504</v>
      </c>
      <c r="F225" s="8" t="s">
        <v>1505</v>
      </c>
      <c r="G225" s="6" t="s">
        <v>38</v>
      </c>
      <c r="H225" s="6" t="s">
        <v>1019</v>
      </c>
      <c r="I225" s="8" t="s">
        <v>1020</v>
      </c>
      <c r="J225" s="9">
        <v>1</v>
      </c>
      <c r="K225" s="9">
        <v>153</v>
      </c>
      <c r="L225" s="9">
        <v>2020</v>
      </c>
      <c r="M225" s="8" t="s">
        <v>1506</v>
      </c>
      <c r="N225" s="8" t="s">
        <v>54</v>
      </c>
      <c r="O225" s="8" t="s">
        <v>91</v>
      </c>
      <c r="P225" s="6" t="s">
        <v>44</v>
      </c>
      <c r="Q225" s="8" t="s">
        <v>45</v>
      </c>
      <c r="R225" s="10" t="s">
        <v>1507</v>
      </c>
      <c r="S225" s="11"/>
      <c r="T225" s="6"/>
      <c r="U225" s="24" t="str">
        <f>HYPERLINK("https://media.infra-m.ru/1070/1070331/cover/1070331.jpg", "Обложка")</f>
        <v>Обложка</v>
      </c>
      <c r="V225" s="24" t="str">
        <f>HYPERLINK("https://znanium.ru/catalog/product/1070331", "Ознакомиться")</f>
        <v>Ознакомиться</v>
      </c>
      <c r="W225" s="8" t="s">
        <v>232</v>
      </c>
      <c r="X225" s="6"/>
      <c r="Y225" s="6"/>
      <c r="Z225" s="6"/>
      <c r="AA225" s="6" t="s">
        <v>68</v>
      </c>
      <c r="AB225" s="8"/>
    </row>
    <row r="226" spans="1:28" s="4" customFormat="1" ht="51.95" customHeight="1">
      <c r="A226" s="5">
        <v>0</v>
      </c>
      <c r="B226" s="6" t="s">
        <v>1508</v>
      </c>
      <c r="C226" s="13">
        <v>708</v>
      </c>
      <c r="D226" s="8" t="s">
        <v>1509</v>
      </c>
      <c r="E226" s="8" t="s">
        <v>1510</v>
      </c>
      <c r="F226" s="8" t="s">
        <v>1511</v>
      </c>
      <c r="G226" s="6" t="s">
        <v>38</v>
      </c>
      <c r="H226" s="6" t="s">
        <v>39</v>
      </c>
      <c r="I226" s="8" t="s">
        <v>40</v>
      </c>
      <c r="J226" s="9">
        <v>1</v>
      </c>
      <c r="K226" s="9">
        <v>160</v>
      </c>
      <c r="L226" s="9">
        <v>2022</v>
      </c>
      <c r="M226" s="8" t="s">
        <v>1512</v>
      </c>
      <c r="N226" s="8" t="s">
        <v>220</v>
      </c>
      <c r="O226" s="8" t="s">
        <v>252</v>
      </c>
      <c r="P226" s="6" t="s">
        <v>44</v>
      </c>
      <c r="Q226" s="8" t="s">
        <v>45</v>
      </c>
      <c r="R226" s="10" t="s">
        <v>1513</v>
      </c>
      <c r="S226" s="11"/>
      <c r="T226" s="6"/>
      <c r="U226" s="24" t="str">
        <f>HYPERLINK("https://media.infra-m.ru/1209/1209858/cover/1209858.jpg", "Обложка")</f>
        <v>Обложка</v>
      </c>
      <c r="V226" s="24" t="str">
        <f>HYPERLINK("https://znanium.ru/catalog/product/1209858", "Ознакомиться")</f>
        <v>Ознакомиться</v>
      </c>
      <c r="W226" s="8" t="s">
        <v>1514</v>
      </c>
      <c r="X226" s="6"/>
      <c r="Y226" s="6"/>
      <c r="Z226" s="6"/>
      <c r="AA226" s="6" t="s">
        <v>76</v>
      </c>
      <c r="AB226" s="8"/>
    </row>
    <row r="227" spans="1:28" s="4" customFormat="1" ht="42" customHeight="1">
      <c r="A227" s="5">
        <v>0</v>
      </c>
      <c r="B227" s="6" t="s">
        <v>1515</v>
      </c>
      <c r="C227" s="7">
        <v>2872.8</v>
      </c>
      <c r="D227" s="8" t="s">
        <v>1516</v>
      </c>
      <c r="E227" s="8" t="s">
        <v>1517</v>
      </c>
      <c r="F227" s="8" t="s">
        <v>1518</v>
      </c>
      <c r="G227" s="6" t="s">
        <v>132</v>
      </c>
      <c r="H227" s="6" t="s">
        <v>99</v>
      </c>
      <c r="I227" s="8"/>
      <c r="J227" s="9">
        <v>1</v>
      </c>
      <c r="K227" s="9">
        <v>560</v>
      </c>
      <c r="L227" s="9">
        <v>2026</v>
      </c>
      <c r="M227" s="8" t="s">
        <v>1519</v>
      </c>
      <c r="N227" s="8" t="s">
        <v>42</v>
      </c>
      <c r="O227" s="8" t="s">
        <v>101</v>
      </c>
      <c r="P227" s="6" t="s">
        <v>44</v>
      </c>
      <c r="Q227" s="8" t="s">
        <v>45</v>
      </c>
      <c r="R227" s="10" t="s">
        <v>564</v>
      </c>
      <c r="S227" s="11"/>
      <c r="T227" s="6"/>
      <c r="U227" s="24" t="str">
        <f>HYPERLINK("https://media.infra-m.ru/2224/2224128/cover/2224128.jpg", "Обложка")</f>
        <v>Обложка</v>
      </c>
      <c r="V227" s="24" t="str">
        <f>HYPERLINK("https://znanium.ru/catalog/product/987314", "Ознакомиться")</f>
        <v>Ознакомиться</v>
      </c>
      <c r="W227" s="8" t="s">
        <v>1520</v>
      </c>
      <c r="X227" s="6"/>
      <c r="Y227" s="6"/>
      <c r="Z227" s="6"/>
      <c r="AA227" s="6" t="s">
        <v>127</v>
      </c>
      <c r="AB227" s="8"/>
    </row>
    <row r="228" spans="1:28" s="4" customFormat="1" ht="51.95" customHeight="1">
      <c r="A228" s="5">
        <v>0</v>
      </c>
      <c r="B228" s="6" t="s">
        <v>1521</v>
      </c>
      <c r="C228" s="7">
        <v>1444.8</v>
      </c>
      <c r="D228" s="8" t="s">
        <v>1522</v>
      </c>
      <c r="E228" s="8" t="s">
        <v>1523</v>
      </c>
      <c r="F228" s="8" t="s">
        <v>1524</v>
      </c>
      <c r="G228" s="6" t="s">
        <v>81</v>
      </c>
      <c r="H228" s="6" t="s">
        <v>326</v>
      </c>
      <c r="I228" s="8" t="s">
        <v>1525</v>
      </c>
      <c r="J228" s="9">
        <v>1</v>
      </c>
      <c r="K228" s="9">
        <v>240</v>
      </c>
      <c r="L228" s="9">
        <v>2025</v>
      </c>
      <c r="M228" s="8" t="s">
        <v>1526</v>
      </c>
      <c r="N228" s="8" t="s">
        <v>284</v>
      </c>
      <c r="O228" s="8" t="s">
        <v>383</v>
      </c>
      <c r="P228" s="6" t="s">
        <v>415</v>
      </c>
      <c r="Q228" s="8" t="s">
        <v>416</v>
      </c>
      <c r="R228" s="10" t="s">
        <v>1527</v>
      </c>
      <c r="S228" s="11" t="s">
        <v>1528</v>
      </c>
      <c r="T228" s="6"/>
      <c r="U228" s="24" t="str">
        <f>HYPERLINK("https://media.infra-m.ru/2186/2186216/cover/2186216.jpg", "Обложка")</f>
        <v>Обложка</v>
      </c>
      <c r="V228" s="24" t="str">
        <f>HYPERLINK("https://znanium.ru/catalog/product/2178770", "Ознакомиться")</f>
        <v>Ознакомиться</v>
      </c>
      <c r="W228" s="8" t="s">
        <v>1529</v>
      </c>
      <c r="X228" s="6"/>
      <c r="Y228" s="6"/>
      <c r="Z228" s="6"/>
      <c r="AA228" s="6" t="s">
        <v>1530</v>
      </c>
      <c r="AB228" s="8"/>
    </row>
    <row r="229" spans="1:28" s="4" customFormat="1" ht="42" customHeight="1">
      <c r="A229" s="5">
        <v>0</v>
      </c>
      <c r="B229" s="6" t="s">
        <v>1531</v>
      </c>
      <c r="C229" s="7">
        <v>2010</v>
      </c>
      <c r="D229" s="8" t="s">
        <v>1532</v>
      </c>
      <c r="E229" s="8" t="s">
        <v>1533</v>
      </c>
      <c r="F229" s="8" t="s">
        <v>1534</v>
      </c>
      <c r="G229" s="6" t="s">
        <v>81</v>
      </c>
      <c r="H229" s="6" t="s">
        <v>99</v>
      </c>
      <c r="I229" s="8"/>
      <c r="J229" s="9">
        <v>1</v>
      </c>
      <c r="K229" s="9">
        <v>304</v>
      </c>
      <c r="L229" s="9">
        <v>2026</v>
      </c>
      <c r="M229" s="8" t="s">
        <v>1535</v>
      </c>
      <c r="N229" s="8" t="s">
        <v>42</v>
      </c>
      <c r="O229" s="8" t="s">
        <v>101</v>
      </c>
      <c r="P229" s="6" t="s">
        <v>44</v>
      </c>
      <c r="Q229" s="8" t="s">
        <v>45</v>
      </c>
      <c r="R229" s="10" t="s">
        <v>1536</v>
      </c>
      <c r="S229" s="11"/>
      <c r="T229" s="6"/>
      <c r="U229" s="24" t="str">
        <f>HYPERLINK("https://media.infra-m.ru/2221/2221055/cover/2221055.jpg", "Обложка")</f>
        <v>Обложка</v>
      </c>
      <c r="V229" s="24" t="str">
        <f>HYPERLINK("https://znanium.ru/catalog/product/1915326", "Ознакомиться")</f>
        <v>Ознакомиться</v>
      </c>
      <c r="W229" s="8" t="s">
        <v>346</v>
      </c>
      <c r="X229" s="6"/>
      <c r="Y229" s="6"/>
      <c r="Z229" s="6"/>
      <c r="AA229" s="6" t="s">
        <v>111</v>
      </c>
      <c r="AB229" s="8"/>
    </row>
    <row r="230" spans="1:28" s="4" customFormat="1" ht="51.95" customHeight="1">
      <c r="A230" s="5">
        <v>0</v>
      </c>
      <c r="B230" s="6" t="s">
        <v>1537</v>
      </c>
      <c r="C230" s="13">
        <v>912</v>
      </c>
      <c r="D230" s="8" t="s">
        <v>1538</v>
      </c>
      <c r="E230" s="8" t="s">
        <v>1539</v>
      </c>
      <c r="F230" s="8" t="s">
        <v>1540</v>
      </c>
      <c r="G230" s="6" t="s">
        <v>38</v>
      </c>
      <c r="H230" s="6" t="s">
        <v>39</v>
      </c>
      <c r="I230" s="8" t="s">
        <v>40</v>
      </c>
      <c r="J230" s="9">
        <v>1</v>
      </c>
      <c r="K230" s="9">
        <v>168</v>
      </c>
      <c r="L230" s="9">
        <v>2023</v>
      </c>
      <c r="M230" s="8" t="s">
        <v>1541</v>
      </c>
      <c r="N230" s="8" t="s">
        <v>220</v>
      </c>
      <c r="O230" s="8" t="s">
        <v>1250</v>
      </c>
      <c r="P230" s="6" t="s">
        <v>44</v>
      </c>
      <c r="Q230" s="8" t="s">
        <v>45</v>
      </c>
      <c r="R230" s="10" t="s">
        <v>1542</v>
      </c>
      <c r="S230" s="11"/>
      <c r="T230" s="6"/>
      <c r="U230" s="24" t="str">
        <f>HYPERLINK("https://media.infra-m.ru/1938/1938938/cover/1938938.jpg", "Обложка")</f>
        <v>Обложка</v>
      </c>
      <c r="V230" s="24" t="str">
        <f>HYPERLINK("https://znanium.ru/catalog/product/1938938", "Ознакомиться")</f>
        <v>Ознакомиться</v>
      </c>
      <c r="W230" s="8" t="s">
        <v>1543</v>
      </c>
      <c r="X230" s="6"/>
      <c r="Y230" s="6"/>
      <c r="Z230" s="6"/>
      <c r="AA230" s="6" t="s">
        <v>377</v>
      </c>
      <c r="AB230" s="8"/>
    </row>
    <row r="231" spans="1:28" s="4" customFormat="1" ht="51.95" customHeight="1">
      <c r="A231" s="5">
        <v>0</v>
      </c>
      <c r="B231" s="6" t="s">
        <v>1544</v>
      </c>
      <c r="C231" s="7">
        <v>2460</v>
      </c>
      <c r="D231" s="8" t="s">
        <v>1545</v>
      </c>
      <c r="E231" s="8" t="s">
        <v>1546</v>
      </c>
      <c r="F231" s="8" t="s">
        <v>1547</v>
      </c>
      <c r="G231" s="6" t="s">
        <v>81</v>
      </c>
      <c r="H231" s="6" t="s">
        <v>39</v>
      </c>
      <c r="I231" s="8" t="s">
        <v>344</v>
      </c>
      <c r="J231" s="9">
        <v>1</v>
      </c>
      <c r="K231" s="9">
        <v>394</v>
      </c>
      <c r="L231" s="9">
        <v>2025</v>
      </c>
      <c r="M231" s="8" t="s">
        <v>1548</v>
      </c>
      <c r="N231" s="8" t="s">
        <v>284</v>
      </c>
      <c r="O231" s="8" t="s">
        <v>1549</v>
      </c>
      <c r="P231" s="6" t="s">
        <v>44</v>
      </c>
      <c r="Q231" s="8" t="s">
        <v>45</v>
      </c>
      <c r="R231" s="10" t="s">
        <v>1550</v>
      </c>
      <c r="S231" s="11"/>
      <c r="T231" s="6"/>
      <c r="U231" s="24" t="str">
        <f>HYPERLINK("https://media.infra-m.ru/2202/2202837/cover/2202837.jpg", "Обложка")</f>
        <v>Обложка</v>
      </c>
      <c r="V231" s="12"/>
      <c r="W231" s="8" t="s">
        <v>346</v>
      </c>
      <c r="X231" s="6"/>
      <c r="Y231" s="6"/>
      <c r="Z231" s="6"/>
      <c r="AA231" s="6" t="s">
        <v>369</v>
      </c>
      <c r="AB231" s="8"/>
    </row>
    <row r="232" spans="1:28" s="4" customFormat="1" ht="42" customHeight="1">
      <c r="A232" s="5">
        <v>0</v>
      </c>
      <c r="B232" s="6" t="s">
        <v>1551</v>
      </c>
      <c r="C232" s="7">
        <v>1289.9000000000001</v>
      </c>
      <c r="D232" s="8" t="s">
        <v>1552</v>
      </c>
      <c r="E232" s="8" t="s">
        <v>1553</v>
      </c>
      <c r="F232" s="8" t="s">
        <v>638</v>
      </c>
      <c r="G232" s="6" t="s">
        <v>38</v>
      </c>
      <c r="H232" s="6" t="s">
        <v>99</v>
      </c>
      <c r="I232" s="8" t="s">
        <v>1554</v>
      </c>
      <c r="J232" s="9">
        <v>10</v>
      </c>
      <c r="K232" s="9">
        <v>336</v>
      </c>
      <c r="L232" s="9">
        <v>2022</v>
      </c>
      <c r="M232" s="8" t="s">
        <v>1555</v>
      </c>
      <c r="N232" s="8" t="s">
        <v>42</v>
      </c>
      <c r="O232" s="8" t="s">
        <v>101</v>
      </c>
      <c r="P232" s="6" t="s">
        <v>415</v>
      </c>
      <c r="Q232" s="8" t="s">
        <v>416</v>
      </c>
      <c r="R232" s="10" t="s">
        <v>640</v>
      </c>
      <c r="S232" s="11"/>
      <c r="T232" s="6"/>
      <c r="U232" s="24" t="str">
        <f>HYPERLINK("https://media.infra-m.ru/1834/1834662/cover/1834662.jpg", "Обложка")</f>
        <v>Обложка</v>
      </c>
      <c r="V232" s="24" t="str">
        <f>HYPERLINK("https://znanium.ru/catalog/product/1834662", "Ознакомиться")</f>
        <v>Ознакомиться</v>
      </c>
      <c r="W232" s="8" t="s">
        <v>641</v>
      </c>
      <c r="X232" s="6"/>
      <c r="Y232" s="6"/>
      <c r="Z232" s="6"/>
      <c r="AA232" s="6" t="s">
        <v>1556</v>
      </c>
      <c r="AB232" s="8"/>
    </row>
    <row r="233" spans="1:28" s="4" customFormat="1" ht="44.1" customHeight="1">
      <c r="A233" s="5">
        <v>0</v>
      </c>
      <c r="B233" s="6" t="s">
        <v>1557</v>
      </c>
      <c r="C233" s="13">
        <v>984</v>
      </c>
      <c r="D233" s="8" t="s">
        <v>1558</v>
      </c>
      <c r="E233" s="8" t="s">
        <v>1559</v>
      </c>
      <c r="F233" s="8" t="s">
        <v>1560</v>
      </c>
      <c r="G233" s="6" t="s">
        <v>38</v>
      </c>
      <c r="H233" s="6" t="s">
        <v>182</v>
      </c>
      <c r="I233" s="8" t="s">
        <v>40</v>
      </c>
      <c r="J233" s="9">
        <v>1</v>
      </c>
      <c r="K233" s="9">
        <v>234</v>
      </c>
      <c r="L233" s="9">
        <v>2020</v>
      </c>
      <c r="M233" s="8" t="s">
        <v>1561</v>
      </c>
      <c r="N233" s="8" t="s">
        <v>220</v>
      </c>
      <c r="O233" s="8" t="s">
        <v>252</v>
      </c>
      <c r="P233" s="6" t="s">
        <v>44</v>
      </c>
      <c r="Q233" s="8" t="s">
        <v>45</v>
      </c>
      <c r="R233" s="10" t="s">
        <v>1562</v>
      </c>
      <c r="S233" s="11"/>
      <c r="T233" s="6"/>
      <c r="U233" s="24" t="str">
        <f>HYPERLINK("https://media.infra-m.ru/1065/1065834/cover/1065834.jpg", "Обложка")</f>
        <v>Обложка</v>
      </c>
      <c r="V233" s="12"/>
      <c r="W233" s="8"/>
      <c r="X233" s="6"/>
      <c r="Y233" s="6"/>
      <c r="Z233" s="6"/>
      <c r="AA233" s="6" t="s">
        <v>76</v>
      </c>
      <c r="AB233" s="8"/>
    </row>
    <row r="234" spans="1:28" s="4" customFormat="1" ht="51.95" customHeight="1">
      <c r="A234" s="5">
        <v>0</v>
      </c>
      <c r="B234" s="6" t="s">
        <v>1563</v>
      </c>
      <c r="C234" s="7">
        <v>1404</v>
      </c>
      <c r="D234" s="8" t="s">
        <v>1564</v>
      </c>
      <c r="E234" s="8" t="s">
        <v>1565</v>
      </c>
      <c r="F234" s="8" t="s">
        <v>1566</v>
      </c>
      <c r="G234" s="6" t="s">
        <v>81</v>
      </c>
      <c r="H234" s="6" t="s">
        <v>99</v>
      </c>
      <c r="I234" s="8"/>
      <c r="J234" s="9">
        <v>1</v>
      </c>
      <c r="K234" s="9">
        <v>224</v>
      </c>
      <c r="L234" s="9">
        <v>2026</v>
      </c>
      <c r="M234" s="8" t="s">
        <v>1567</v>
      </c>
      <c r="N234" s="8" t="s">
        <v>42</v>
      </c>
      <c r="O234" s="8" t="s">
        <v>189</v>
      </c>
      <c r="P234" s="6" t="s">
        <v>44</v>
      </c>
      <c r="Q234" s="8" t="s">
        <v>45</v>
      </c>
      <c r="R234" s="10" t="s">
        <v>1568</v>
      </c>
      <c r="S234" s="11"/>
      <c r="T234" s="6"/>
      <c r="U234" s="24" t="str">
        <f>HYPERLINK("https://media.infra-m.ru/2216/2216870/cover/2216870.jpg", "Обложка")</f>
        <v>Обложка</v>
      </c>
      <c r="V234" s="24" t="str">
        <f>HYPERLINK("https://znanium.ru/catalog/product/2216870", "Ознакомиться")</f>
        <v>Ознакомиться</v>
      </c>
      <c r="W234" s="8" t="s">
        <v>305</v>
      </c>
      <c r="X234" s="6"/>
      <c r="Y234" s="6"/>
      <c r="Z234" s="6"/>
      <c r="AA234" s="6" t="s">
        <v>377</v>
      </c>
      <c r="AB234" s="8"/>
    </row>
    <row r="235" spans="1:28" s="4" customFormat="1" ht="51.95" customHeight="1">
      <c r="A235" s="5">
        <v>0</v>
      </c>
      <c r="B235" s="6" t="s">
        <v>1569</v>
      </c>
      <c r="C235" s="7">
        <v>1444.8</v>
      </c>
      <c r="D235" s="8" t="s">
        <v>1570</v>
      </c>
      <c r="E235" s="8" t="s">
        <v>1571</v>
      </c>
      <c r="F235" s="8" t="s">
        <v>1572</v>
      </c>
      <c r="G235" s="6" t="s">
        <v>81</v>
      </c>
      <c r="H235" s="6" t="s">
        <v>39</v>
      </c>
      <c r="I235" s="8" t="s">
        <v>40</v>
      </c>
      <c r="J235" s="9">
        <v>1</v>
      </c>
      <c r="K235" s="9">
        <v>213</v>
      </c>
      <c r="L235" s="9">
        <v>2025</v>
      </c>
      <c r="M235" s="8" t="s">
        <v>1573</v>
      </c>
      <c r="N235" s="8" t="s">
        <v>229</v>
      </c>
      <c r="O235" s="8" t="s">
        <v>230</v>
      </c>
      <c r="P235" s="6" t="s">
        <v>44</v>
      </c>
      <c r="Q235" s="8" t="s">
        <v>45</v>
      </c>
      <c r="R235" s="10" t="s">
        <v>1574</v>
      </c>
      <c r="S235" s="11"/>
      <c r="T235" s="6"/>
      <c r="U235" s="24" t="str">
        <f>HYPERLINK("https://media.infra-m.ru/2217/2217102/cover/2217102.jpg", "Обложка")</f>
        <v>Обложка</v>
      </c>
      <c r="V235" s="24" t="str">
        <f>HYPERLINK("https://znanium.ru/catalog/product/2211470", "Ознакомиться")</f>
        <v>Ознакомиться</v>
      </c>
      <c r="W235" s="8" t="s">
        <v>1575</v>
      </c>
      <c r="X235" s="6"/>
      <c r="Y235" s="6"/>
      <c r="Z235" s="6"/>
      <c r="AA235" s="6" t="s">
        <v>58</v>
      </c>
      <c r="AB235" s="8" t="s">
        <v>1101</v>
      </c>
    </row>
    <row r="236" spans="1:28" s="4" customFormat="1" ht="44.1" customHeight="1">
      <c r="A236" s="5">
        <v>0</v>
      </c>
      <c r="B236" s="6" t="s">
        <v>1576</v>
      </c>
      <c r="C236" s="7">
        <v>1092</v>
      </c>
      <c r="D236" s="8" t="s">
        <v>1577</v>
      </c>
      <c r="E236" s="8" t="s">
        <v>1578</v>
      </c>
      <c r="F236" s="8" t="s">
        <v>1579</v>
      </c>
      <c r="G236" s="6" t="s">
        <v>38</v>
      </c>
      <c r="H236" s="6" t="s">
        <v>39</v>
      </c>
      <c r="I236" s="8" t="s">
        <v>40</v>
      </c>
      <c r="J236" s="9">
        <v>1</v>
      </c>
      <c r="K236" s="9">
        <v>175</v>
      </c>
      <c r="L236" s="9">
        <v>2026</v>
      </c>
      <c r="M236" s="8" t="s">
        <v>1580</v>
      </c>
      <c r="N236" s="8" t="s">
        <v>220</v>
      </c>
      <c r="O236" s="8" t="s">
        <v>296</v>
      </c>
      <c r="P236" s="6" t="s">
        <v>44</v>
      </c>
      <c r="Q236" s="8" t="s">
        <v>45</v>
      </c>
      <c r="R236" s="10" t="s">
        <v>1581</v>
      </c>
      <c r="S236" s="11"/>
      <c r="T236" s="6"/>
      <c r="U236" s="24" t="str">
        <f>HYPERLINK("https://media.infra-m.ru/2184/2184036/cover/2184036.jpg", "Обложка")</f>
        <v>Обложка</v>
      </c>
      <c r="V236" s="24" t="str">
        <f>HYPERLINK("https://znanium.ru/catalog/product/2184036", "Ознакомиться")</f>
        <v>Ознакомиться</v>
      </c>
      <c r="W236" s="8" t="s">
        <v>354</v>
      </c>
      <c r="X236" s="6"/>
      <c r="Y236" s="6" t="s">
        <v>30</v>
      </c>
      <c r="Z236" s="6"/>
      <c r="AA236" s="6" t="s">
        <v>68</v>
      </c>
      <c r="AB236" s="8"/>
    </row>
    <row r="237" spans="1:28" s="4" customFormat="1" ht="44.1" customHeight="1">
      <c r="A237" s="5">
        <v>0</v>
      </c>
      <c r="B237" s="6" t="s">
        <v>1582</v>
      </c>
      <c r="C237" s="13">
        <v>796.8</v>
      </c>
      <c r="D237" s="8" t="s">
        <v>1583</v>
      </c>
      <c r="E237" s="8" t="s">
        <v>1584</v>
      </c>
      <c r="F237" s="8" t="s">
        <v>1585</v>
      </c>
      <c r="G237" s="6" t="s">
        <v>38</v>
      </c>
      <c r="H237" s="6" t="s">
        <v>99</v>
      </c>
      <c r="I237" s="8"/>
      <c r="J237" s="9">
        <v>1</v>
      </c>
      <c r="K237" s="9">
        <v>144</v>
      </c>
      <c r="L237" s="9">
        <v>2024</v>
      </c>
      <c r="M237" s="8" t="s">
        <v>1586</v>
      </c>
      <c r="N237" s="8" t="s">
        <v>42</v>
      </c>
      <c r="O237" s="8" t="s">
        <v>101</v>
      </c>
      <c r="P237" s="6" t="s">
        <v>44</v>
      </c>
      <c r="Q237" s="8" t="s">
        <v>45</v>
      </c>
      <c r="R237" s="10" t="s">
        <v>1587</v>
      </c>
      <c r="S237" s="11"/>
      <c r="T237" s="6"/>
      <c r="U237" s="24" t="str">
        <f>HYPERLINK("https://media.infra-m.ru/2073/2073495/cover/2073495.jpg", "Обложка")</f>
        <v>Обложка</v>
      </c>
      <c r="V237" s="24" t="str">
        <f>HYPERLINK("https://znanium.ru/catalog/product/1216466", "Ознакомиться")</f>
        <v>Ознакомиться</v>
      </c>
      <c r="W237" s="8" t="s">
        <v>565</v>
      </c>
      <c r="X237" s="6"/>
      <c r="Y237" s="6"/>
      <c r="Z237" s="6"/>
      <c r="AA237" s="6" t="s">
        <v>241</v>
      </c>
      <c r="AB237" s="8"/>
    </row>
    <row r="238" spans="1:28" s="4" customFormat="1" ht="51.95" customHeight="1">
      <c r="A238" s="5">
        <v>0</v>
      </c>
      <c r="B238" s="6" t="s">
        <v>1588</v>
      </c>
      <c r="C238" s="13">
        <v>916.8</v>
      </c>
      <c r="D238" s="8" t="s">
        <v>1589</v>
      </c>
      <c r="E238" s="8" t="s">
        <v>1590</v>
      </c>
      <c r="F238" s="8" t="s">
        <v>1591</v>
      </c>
      <c r="G238" s="6" t="s">
        <v>26</v>
      </c>
      <c r="H238" s="6" t="s">
        <v>182</v>
      </c>
      <c r="I238" s="8" t="s">
        <v>40</v>
      </c>
      <c r="J238" s="9">
        <v>1</v>
      </c>
      <c r="K238" s="9">
        <v>139</v>
      </c>
      <c r="L238" s="9">
        <v>2026</v>
      </c>
      <c r="M238" s="8" t="s">
        <v>1592</v>
      </c>
      <c r="N238" s="8" t="s">
        <v>42</v>
      </c>
      <c r="O238" s="8" t="s">
        <v>101</v>
      </c>
      <c r="P238" s="6" t="s">
        <v>44</v>
      </c>
      <c r="Q238" s="8" t="s">
        <v>45</v>
      </c>
      <c r="R238" s="10" t="s">
        <v>1593</v>
      </c>
      <c r="S238" s="11"/>
      <c r="T238" s="6"/>
      <c r="U238" s="24" t="str">
        <f>HYPERLINK("https://media.infra-m.ru/2224/2224174/cover/2224174.jpg", "Обложка")</f>
        <v>Обложка</v>
      </c>
      <c r="V238" s="24" t="str">
        <f>HYPERLINK("https://znanium.ru/catalog/product/1815480", "Ознакомиться")</f>
        <v>Ознакомиться</v>
      </c>
      <c r="W238" s="8" t="s">
        <v>1594</v>
      </c>
      <c r="X238" s="6"/>
      <c r="Y238" s="6"/>
      <c r="Z238" s="6"/>
      <c r="AA238" s="6" t="s">
        <v>1050</v>
      </c>
      <c r="AB238" s="8"/>
    </row>
    <row r="239" spans="1:28" s="4" customFormat="1" ht="51.95" customHeight="1">
      <c r="A239" s="5">
        <v>0</v>
      </c>
      <c r="B239" s="6" t="s">
        <v>1595</v>
      </c>
      <c r="C239" s="7">
        <v>1104</v>
      </c>
      <c r="D239" s="8" t="s">
        <v>1596</v>
      </c>
      <c r="E239" s="8" t="s">
        <v>1597</v>
      </c>
      <c r="F239" s="8" t="s">
        <v>1598</v>
      </c>
      <c r="G239" s="6" t="s">
        <v>38</v>
      </c>
      <c r="H239" s="6" t="s">
        <v>39</v>
      </c>
      <c r="I239" s="8" t="s">
        <v>40</v>
      </c>
      <c r="J239" s="9">
        <v>1</v>
      </c>
      <c r="K239" s="9">
        <v>249</v>
      </c>
      <c r="L239" s="9">
        <v>2021</v>
      </c>
      <c r="M239" s="8" t="s">
        <v>1599</v>
      </c>
      <c r="N239" s="8" t="s">
        <v>42</v>
      </c>
      <c r="O239" s="8" t="s">
        <v>65</v>
      </c>
      <c r="P239" s="6" t="s">
        <v>44</v>
      </c>
      <c r="Q239" s="8" t="s">
        <v>45</v>
      </c>
      <c r="R239" s="10" t="s">
        <v>1600</v>
      </c>
      <c r="S239" s="11"/>
      <c r="T239" s="6"/>
      <c r="U239" s="24" t="str">
        <f>HYPERLINK("https://media.infra-m.ru/1206/1206679/cover/1206679.jpg", "Обложка")</f>
        <v>Обложка</v>
      </c>
      <c r="V239" s="24" t="str">
        <f>HYPERLINK("https://znanium.ru/catalog/product/1206679", "Ознакомиться")</f>
        <v>Ознакомиться</v>
      </c>
      <c r="W239" s="8" t="s">
        <v>1601</v>
      </c>
      <c r="X239" s="6"/>
      <c r="Y239" s="6"/>
      <c r="Z239" s="6"/>
      <c r="AA239" s="6" t="s">
        <v>199</v>
      </c>
      <c r="AB239" s="8"/>
    </row>
    <row r="240" spans="1:28" s="4" customFormat="1" ht="51.95" customHeight="1">
      <c r="A240" s="5">
        <v>0</v>
      </c>
      <c r="B240" s="6" t="s">
        <v>1602</v>
      </c>
      <c r="C240" s="7">
        <v>2028</v>
      </c>
      <c r="D240" s="8" t="s">
        <v>1603</v>
      </c>
      <c r="E240" s="8" t="s">
        <v>1604</v>
      </c>
      <c r="F240" s="8" t="s">
        <v>1605</v>
      </c>
      <c r="G240" s="6" t="s">
        <v>81</v>
      </c>
      <c r="H240" s="6" t="s">
        <v>39</v>
      </c>
      <c r="I240" s="8" t="s">
        <v>237</v>
      </c>
      <c r="J240" s="9">
        <v>1</v>
      </c>
      <c r="K240" s="9">
        <v>366</v>
      </c>
      <c r="L240" s="9">
        <v>2023</v>
      </c>
      <c r="M240" s="8" t="s">
        <v>1606</v>
      </c>
      <c r="N240" s="8" t="s">
        <v>284</v>
      </c>
      <c r="O240" s="8" t="s">
        <v>482</v>
      </c>
      <c r="P240" s="6" t="s">
        <v>286</v>
      </c>
      <c r="Q240" s="8" t="s">
        <v>45</v>
      </c>
      <c r="R240" s="10" t="s">
        <v>1607</v>
      </c>
      <c r="S240" s="11" t="s">
        <v>1608</v>
      </c>
      <c r="T240" s="6"/>
      <c r="U240" s="24" t="str">
        <f>HYPERLINK("https://media.infra-m.ru/2127/2127014/cover/2127014.jpg", "Обложка")</f>
        <v>Обложка</v>
      </c>
      <c r="V240" s="24" t="str">
        <f>HYPERLINK("https://znanium.ru/catalog/product/2127014", "Ознакомиться")</f>
        <v>Ознакомиться</v>
      </c>
      <c r="W240" s="8" t="s">
        <v>1609</v>
      </c>
      <c r="X240" s="6"/>
      <c r="Y240" s="6"/>
      <c r="Z240" s="6"/>
      <c r="AA240" s="6" t="s">
        <v>339</v>
      </c>
      <c r="AB240" s="8"/>
    </row>
    <row r="241" spans="1:28" s="4" customFormat="1" ht="42" customHeight="1">
      <c r="A241" s="5">
        <v>0</v>
      </c>
      <c r="B241" s="6" t="s">
        <v>1610</v>
      </c>
      <c r="C241" s="7">
        <v>1056</v>
      </c>
      <c r="D241" s="8" t="s">
        <v>1611</v>
      </c>
      <c r="E241" s="8" t="s">
        <v>1612</v>
      </c>
      <c r="F241" s="8" t="s">
        <v>1613</v>
      </c>
      <c r="G241" s="6" t="s">
        <v>38</v>
      </c>
      <c r="H241" s="6" t="s">
        <v>39</v>
      </c>
      <c r="I241" s="8" t="s">
        <v>40</v>
      </c>
      <c r="J241" s="9">
        <v>1</v>
      </c>
      <c r="K241" s="9">
        <v>182</v>
      </c>
      <c r="L241" s="9">
        <v>2023</v>
      </c>
      <c r="M241" s="8" t="s">
        <v>1614</v>
      </c>
      <c r="N241" s="8" t="s">
        <v>284</v>
      </c>
      <c r="O241" s="8" t="s">
        <v>285</v>
      </c>
      <c r="P241" s="6" t="s">
        <v>44</v>
      </c>
      <c r="Q241" s="8" t="s">
        <v>45</v>
      </c>
      <c r="R241" s="10" t="s">
        <v>1615</v>
      </c>
      <c r="S241" s="11"/>
      <c r="T241" s="6"/>
      <c r="U241" s="24" t="str">
        <f>HYPERLINK("https://media.infra-m.ru/2083/2083210/cover/2083210.jpg", "Обложка")</f>
        <v>Обложка</v>
      </c>
      <c r="V241" s="24" t="str">
        <f>HYPERLINK("https://znanium.ru/catalog/product/1946200", "Ознакомиться")</f>
        <v>Ознакомиться</v>
      </c>
      <c r="W241" s="8" t="s">
        <v>1616</v>
      </c>
      <c r="X241" s="6"/>
      <c r="Y241" s="6"/>
      <c r="Z241" s="6"/>
      <c r="AA241" s="6" t="s">
        <v>119</v>
      </c>
      <c r="AB241" s="8"/>
    </row>
    <row r="242" spans="1:28" s="4" customFormat="1" ht="42" customHeight="1">
      <c r="A242" s="5">
        <v>0</v>
      </c>
      <c r="B242" s="6" t="s">
        <v>1617</v>
      </c>
      <c r="C242" s="13">
        <v>648</v>
      </c>
      <c r="D242" s="8" t="s">
        <v>1618</v>
      </c>
      <c r="E242" s="8" t="s">
        <v>1619</v>
      </c>
      <c r="F242" s="8" t="s">
        <v>1620</v>
      </c>
      <c r="G242" s="6" t="s">
        <v>38</v>
      </c>
      <c r="H242" s="6" t="s">
        <v>39</v>
      </c>
      <c r="I242" s="8" t="s">
        <v>40</v>
      </c>
      <c r="J242" s="9">
        <v>1</v>
      </c>
      <c r="K242" s="9">
        <v>142</v>
      </c>
      <c r="L242" s="9">
        <v>2022</v>
      </c>
      <c r="M242" s="8" t="s">
        <v>1621</v>
      </c>
      <c r="N242" s="8" t="s">
        <v>42</v>
      </c>
      <c r="O242" s="8" t="s">
        <v>101</v>
      </c>
      <c r="P242" s="6" t="s">
        <v>44</v>
      </c>
      <c r="Q242" s="8" t="s">
        <v>45</v>
      </c>
      <c r="R242" s="10" t="s">
        <v>564</v>
      </c>
      <c r="S242" s="11"/>
      <c r="T242" s="6"/>
      <c r="U242" s="24" t="str">
        <f>HYPERLINK("https://media.infra-m.ru/1734/1734820/cover/1734820.jpg", "Обложка")</f>
        <v>Обложка</v>
      </c>
      <c r="V242" s="24" t="str">
        <f>HYPERLINK("https://znanium.ru/catalog/product/1734820", "Ознакомиться")</f>
        <v>Ознакомиться</v>
      </c>
      <c r="W242" s="8" t="s">
        <v>693</v>
      </c>
      <c r="X242" s="6"/>
      <c r="Y242" s="6"/>
      <c r="Z242" s="6"/>
      <c r="AA242" s="6" t="s">
        <v>68</v>
      </c>
      <c r="AB242" s="8"/>
    </row>
    <row r="243" spans="1:28" s="4" customFormat="1" ht="42" customHeight="1">
      <c r="A243" s="5">
        <v>0</v>
      </c>
      <c r="B243" s="6" t="s">
        <v>1622</v>
      </c>
      <c r="C243" s="7">
        <v>1752</v>
      </c>
      <c r="D243" s="8" t="s">
        <v>1623</v>
      </c>
      <c r="E243" s="8" t="s">
        <v>1624</v>
      </c>
      <c r="F243" s="8" t="s">
        <v>1625</v>
      </c>
      <c r="G243" s="6" t="s">
        <v>38</v>
      </c>
      <c r="H243" s="6" t="s">
        <v>39</v>
      </c>
      <c r="I243" s="8" t="s">
        <v>40</v>
      </c>
      <c r="J243" s="9">
        <v>1</v>
      </c>
      <c r="K243" s="9">
        <v>279</v>
      </c>
      <c r="L243" s="9">
        <v>2025</v>
      </c>
      <c r="M243" s="8" t="s">
        <v>1626</v>
      </c>
      <c r="N243" s="8" t="s">
        <v>42</v>
      </c>
      <c r="O243" s="8" t="s">
        <v>101</v>
      </c>
      <c r="P243" s="6" t="s">
        <v>44</v>
      </c>
      <c r="Q243" s="8" t="s">
        <v>45</v>
      </c>
      <c r="R243" s="10" t="s">
        <v>564</v>
      </c>
      <c r="S243" s="11"/>
      <c r="T243" s="6"/>
      <c r="U243" s="24" t="str">
        <f>HYPERLINK("https://media.infra-m.ru/2199/2199666/cover/2199666.jpg", "Обложка")</f>
        <v>Обложка</v>
      </c>
      <c r="V243" s="24" t="str">
        <f>HYPERLINK("https://znanium.ru/catalog/product/2199666", "Ознакомиться")</f>
        <v>Ознакомиться</v>
      </c>
      <c r="W243" s="8" t="s">
        <v>1627</v>
      </c>
      <c r="X243" s="6"/>
      <c r="Y243" s="6"/>
      <c r="Z243" s="6"/>
      <c r="AA243" s="6" t="s">
        <v>48</v>
      </c>
      <c r="AB243" s="8"/>
    </row>
    <row r="244" spans="1:28" s="4" customFormat="1" ht="42" customHeight="1">
      <c r="A244" s="5">
        <v>0</v>
      </c>
      <c r="B244" s="6" t="s">
        <v>1628</v>
      </c>
      <c r="C244" s="13">
        <v>780</v>
      </c>
      <c r="D244" s="8" t="s">
        <v>1629</v>
      </c>
      <c r="E244" s="8" t="s">
        <v>1630</v>
      </c>
      <c r="F244" s="8" t="s">
        <v>1631</v>
      </c>
      <c r="G244" s="6" t="s">
        <v>81</v>
      </c>
      <c r="H244" s="6" t="s">
        <v>39</v>
      </c>
      <c r="I244" s="8" t="s">
        <v>40</v>
      </c>
      <c r="J244" s="9">
        <v>1</v>
      </c>
      <c r="K244" s="9">
        <v>208</v>
      </c>
      <c r="L244" s="9">
        <v>2019</v>
      </c>
      <c r="M244" s="8" t="s">
        <v>1632</v>
      </c>
      <c r="N244" s="8" t="s">
        <v>42</v>
      </c>
      <c r="O244" s="8" t="s">
        <v>189</v>
      </c>
      <c r="P244" s="6" t="s">
        <v>44</v>
      </c>
      <c r="Q244" s="8" t="s">
        <v>45</v>
      </c>
      <c r="R244" s="10" t="s">
        <v>573</v>
      </c>
      <c r="S244" s="11"/>
      <c r="T244" s="6"/>
      <c r="U244" s="24" t="str">
        <f>HYPERLINK("https://media.infra-m.ru/0981/0981470/cover/981470.jpg", "Обложка")</f>
        <v>Обложка</v>
      </c>
      <c r="V244" s="24" t="str">
        <f>HYPERLINK("https://znanium.ru/catalog/product/981470", "Ознакомиться")</f>
        <v>Ознакомиться</v>
      </c>
      <c r="W244" s="8" t="s">
        <v>1633</v>
      </c>
      <c r="X244" s="6"/>
      <c r="Y244" s="6"/>
      <c r="Z244" s="6"/>
      <c r="AA244" s="6" t="s">
        <v>68</v>
      </c>
      <c r="AB244" s="8"/>
    </row>
    <row r="245" spans="1:28" s="4" customFormat="1" ht="42" customHeight="1">
      <c r="A245" s="5">
        <v>0</v>
      </c>
      <c r="B245" s="6" t="s">
        <v>1634</v>
      </c>
      <c r="C245" s="7">
        <v>1404</v>
      </c>
      <c r="D245" s="8" t="s">
        <v>1635</v>
      </c>
      <c r="E245" s="8" t="s">
        <v>1636</v>
      </c>
      <c r="F245" s="8" t="s">
        <v>1637</v>
      </c>
      <c r="G245" s="6" t="s">
        <v>81</v>
      </c>
      <c r="H245" s="6" t="s">
        <v>39</v>
      </c>
      <c r="I245" s="8" t="s">
        <v>40</v>
      </c>
      <c r="J245" s="9">
        <v>1</v>
      </c>
      <c r="K245" s="9">
        <v>218</v>
      </c>
      <c r="L245" s="9">
        <v>2026</v>
      </c>
      <c r="M245" s="8" t="s">
        <v>1638</v>
      </c>
      <c r="N245" s="8" t="s">
        <v>284</v>
      </c>
      <c r="O245" s="8" t="s">
        <v>328</v>
      </c>
      <c r="P245" s="6" t="s">
        <v>44</v>
      </c>
      <c r="Q245" s="8" t="s">
        <v>45</v>
      </c>
      <c r="R245" s="10" t="s">
        <v>1322</v>
      </c>
      <c r="S245" s="11"/>
      <c r="T245" s="6"/>
      <c r="U245" s="24" t="str">
        <f>HYPERLINK("https://media.infra-m.ru/2213/2213661/cover/2213661.jpg", "Обложка")</f>
        <v>Обложка</v>
      </c>
      <c r="V245" s="24" t="str">
        <f>HYPERLINK("https://znanium.ru/catalog/product/2213661", "Ознакомиться")</f>
        <v>Ознакомиться</v>
      </c>
      <c r="W245" s="8" t="s">
        <v>1119</v>
      </c>
      <c r="X245" s="6"/>
      <c r="Y245" s="6"/>
      <c r="Z245" s="6"/>
      <c r="AA245" s="6" t="s">
        <v>119</v>
      </c>
      <c r="AB245" s="8"/>
    </row>
    <row r="246" spans="1:28" s="4" customFormat="1" ht="51.95" customHeight="1">
      <c r="A246" s="5">
        <v>0</v>
      </c>
      <c r="B246" s="6" t="s">
        <v>1639</v>
      </c>
      <c r="C246" s="7">
        <v>1168.8</v>
      </c>
      <c r="D246" s="8" t="s">
        <v>1640</v>
      </c>
      <c r="E246" s="8" t="s">
        <v>1641</v>
      </c>
      <c r="F246" s="8" t="s">
        <v>1642</v>
      </c>
      <c r="G246" s="6" t="s">
        <v>81</v>
      </c>
      <c r="H246" s="6" t="s">
        <v>39</v>
      </c>
      <c r="I246" s="8"/>
      <c r="J246" s="9">
        <v>1</v>
      </c>
      <c r="K246" s="9">
        <v>186</v>
      </c>
      <c r="L246" s="9">
        <v>2025</v>
      </c>
      <c r="M246" s="8" t="s">
        <v>1643</v>
      </c>
      <c r="N246" s="8" t="s">
        <v>284</v>
      </c>
      <c r="O246" s="8" t="s">
        <v>717</v>
      </c>
      <c r="P246" s="6" t="s">
        <v>44</v>
      </c>
      <c r="Q246" s="8" t="s">
        <v>45</v>
      </c>
      <c r="R246" s="10" t="s">
        <v>1644</v>
      </c>
      <c r="S246" s="11"/>
      <c r="T246" s="6"/>
      <c r="U246" s="24" t="str">
        <f>HYPERLINK("https://media.infra-m.ru/2201/2201902/cover/2201902.jpg", "Обложка")</f>
        <v>Обложка</v>
      </c>
      <c r="V246" s="24" t="str">
        <f>HYPERLINK("https://znanium.ru/catalog/product/1898762", "Ознакомиться")</f>
        <v>Ознакомиться</v>
      </c>
      <c r="W246" s="8" t="s">
        <v>1645</v>
      </c>
      <c r="X246" s="6"/>
      <c r="Y246" s="6"/>
      <c r="Z246" s="6"/>
      <c r="AA246" s="6" t="s">
        <v>76</v>
      </c>
      <c r="AB246" s="8"/>
    </row>
    <row r="247" spans="1:28" s="4" customFormat="1" ht="51.95" customHeight="1">
      <c r="A247" s="5">
        <v>0</v>
      </c>
      <c r="B247" s="6" t="s">
        <v>1646</v>
      </c>
      <c r="C247" s="7">
        <v>1720.8</v>
      </c>
      <c r="D247" s="8" t="s">
        <v>1647</v>
      </c>
      <c r="E247" s="8" t="s">
        <v>1648</v>
      </c>
      <c r="F247" s="8" t="s">
        <v>1649</v>
      </c>
      <c r="G247" s="6" t="s">
        <v>132</v>
      </c>
      <c r="H247" s="6" t="s">
        <v>39</v>
      </c>
      <c r="I247" s="8" t="s">
        <v>40</v>
      </c>
      <c r="J247" s="9">
        <v>1</v>
      </c>
      <c r="K247" s="9">
        <v>276</v>
      </c>
      <c r="L247" s="9">
        <v>2025</v>
      </c>
      <c r="M247" s="8" t="s">
        <v>1650</v>
      </c>
      <c r="N247" s="8" t="s">
        <v>229</v>
      </c>
      <c r="O247" s="8" t="s">
        <v>230</v>
      </c>
      <c r="P247" s="6" t="s">
        <v>44</v>
      </c>
      <c r="Q247" s="8" t="s">
        <v>45</v>
      </c>
      <c r="R247" s="10" t="s">
        <v>1651</v>
      </c>
      <c r="S247" s="11"/>
      <c r="T247" s="6"/>
      <c r="U247" s="24" t="str">
        <f>HYPERLINK("https://media.infra-m.ru/2210/2210356/cover/2210356.jpg", "Обложка")</f>
        <v>Обложка</v>
      </c>
      <c r="V247" s="24" t="str">
        <f>HYPERLINK("https://znanium.ru/catalog/product/1020779", "Ознакомиться")</f>
        <v>Ознакомиться</v>
      </c>
      <c r="W247" s="8" t="s">
        <v>1575</v>
      </c>
      <c r="X247" s="6"/>
      <c r="Y247" s="6"/>
      <c r="Z247" s="6"/>
      <c r="AA247" s="6" t="s">
        <v>76</v>
      </c>
      <c r="AB247" s="8"/>
    </row>
    <row r="248" spans="1:28" s="4" customFormat="1" ht="44.1" customHeight="1">
      <c r="A248" s="5">
        <v>0</v>
      </c>
      <c r="B248" s="6" t="s">
        <v>1652</v>
      </c>
      <c r="C248" s="7">
        <v>1068</v>
      </c>
      <c r="D248" s="8" t="s">
        <v>1653</v>
      </c>
      <c r="E248" s="8" t="s">
        <v>1654</v>
      </c>
      <c r="F248" s="8" t="s">
        <v>1655</v>
      </c>
      <c r="G248" s="6" t="s">
        <v>132</v>
      </c>
      <c r="H248" s="6" t="s">
        <v>39</v>
      </c>
      <c r="I248" s="8" t="s">
        <v>40</v>
      </c>
      <c r="J248" s="9">
        <v>1</v>
      </c>
      <c r="K248" s="9">
        <v>183</v>
      </c>
      <c r="L248" s="9">
        <v>2022</v>
      </c>
      <c r="M248" s="8" t="s">
        <v>1656</v>
      </c>
      <c r="N248" s="8" t="s">
        <v>42</v>
      </c>
      <c r="O248" s="8" t="s">
        <v>101</v>
      </c>
      <c r="P248" s="6" t="s">
        <v>44</v>
      </c>
      <c r="Q248" s="8" t="s">
        <v>45</v>
      </c>
      <c r="R248" s="10" t="s">
        <v>1657</v>
      </c>
      <c r="S248" s="11"/>
      <c r="T248" s="6"/>
      <c r="U248" s="24" t="str">
        <f>HYPERLINK("https://media.infra-m.ru/1860/1860938/cover/1860938.jpg", "Обложка")</f>
        <v>Обложка</v>
      </c>
      <c r="V248" s="24" t="str">
        <f>HYPERLINK("https://znanium.ru/catalog/product/1860938", "Ознакомиться")</f>
        <v>Ознакомиться</v>
      </c>
      <c r="W248" s="8" t="s">
        <v>1658</v>
      </c>
      <c r="X248" s="6"/>
      <c r="Y248" s="6"/>
      <c r="Z248" s="6"/>
      <c r="AA248" s="6" t="s">
        <v>111</v>
      </c>
      <c r="AB248" s="8"/>
    </row>
    <row r="249" spans="1:28" s="4" customFormat="1" ht="44.1" customHeight="1">
      <c r="A249" s="5">
        <v>0</v>
      </c>
      <c r="B249" s="6" t="s">
        <v>1659</v>
      </c>
      <c r="C249" s="7">
        <v>1056</v>
      </c>
      <c r="D249" s="8" t="s">
        <v>1660</v>
      </c>
      <c r="E249" s="8" t="s">
        <v>1661</v>
      </c>
      <c r="F249" s="8" t="s">
        <v>1662</v>
      </c>
      <c r="G249" s="6" t="s">
        <v>38</v>
      </c>
      <c r="H249" s="6" t="s">
        <v>39</v>
      </c>
      <c r="I249" s="8" t="s">
        <v>40</v>
      </c>
      <c r="J249" s="9">
        <v>1</v>
      </c>
      <c r="K249" s="9">
        <v>168</v>
      </c>
      <c r="L249" s="9">
        <v>2024</v>
      </c>
      <c r="M249" s="8" t="s">
        <v>1663</v>
      </c>
      <c r="N249" s="8" t="s">
        <v>42</v>
      </c>
      <c r="O249" s="8" t="s">
        <v>189</v>
      </c>
      <c r="P249" s="6" t="s">
        <v>44</v>
      </c>
      <c r="Q249" s="8" t="s">
        <v>45</v>
      </c>
      <c r="R249" s="10" t="s">
        <v>1664</v>
      </c>
      <c r="S249" s="11"/>
      <c r="T249" s="6" t="s">
        <v>1080</v>
      </c>
      <c r="U249" s="24" t="str">
        <f>HYPERLINK("https://media.infra-m.ru/2117/2117124/cover/2117124.jpg", "Обложка")</f>
        <v>Обложка</v>
      </c>
      <c r="V249" s="24" t="str">
        <f>HYPERLINK("https://znanium.ru/catalog/product/2117124", "Ознакомиться")</f>
        <v>Ознакомиться</v>
      </c>
      <c r="W249" s="8" t="s">
        <v>732</v>
      </c>
      <c r="X249" s="6"/>
      <c r="Y249" s="6"/>
      <c r="Z249" s="6"/>
      <c r="AA249" s="6" t="s">
        <v>377</v>
      </c>
      <c r="AB249" s="8"/>
    </row>
    <row r="250" spans="1:28" s="4" customFormat="1" ht="51.95" customHeight="1">
      <c r="A250" s="5">
        <v>0</v>
      </c>
      <c r="B250" s="6" t="s">
        <v>1665</v>
      </c>
      <c r="C250" s="13">
        <v>880.8</v>
      </c>
      <c r="D250" s="8" t="s">
        <v>1666</v>
      </c>
      <c r="E250" s="8" t="s">
        <v>1667</v>
      </c>
      <c r="F250" s="8" t="s">
        <v>1668</v>
      </c>
      <c r="G250" s="6" t="s">
        <v>38</v>
      </c>
      <c r="H250" s="6" t="s">
        <v>571</v>
      </c>
      <c r="I250" s="8"/>
      <c r="J250" s="9">
        <v>1</v>
      </c>
      <c r="K250" s="9">
        <v>160</v>
      </c>
      <c r="L250" s="9">
        <v>2024</v>
      </c>
      <c r="M250" s="8" t="s">
        <v>1669</v>
      </c>
      <c r="N250" s="8" t="s">
        <v>42</v>
      </c>
      <c r="O250" s="8" t="s">
        <v>189</v>
      </c>
      <c r="P250" s="6" t="s">
        <v>44</v>
      </c>
      <c r="Q250" s="8" t="s">
        <v>45</v>
      </c>
      <c r="R250" s="10" t="s">
        <v>1670</v>
      </c>
      <c r="S250" s="11"/>
      <c r="T250" s="6"/>
      <c r="U250" s="24" t="str">
        <f>HYPERLINK("https://media.infra-m.ru/2117/2117158/cover/2117158.jpg", "Обложка")</f>
        <v>Обложка</v>
      </c>
      <c r="V250" s="12"/>
      <c r="W250" s="8" t="s">
        <v>1671</v>
      </c>
      <c r="X250" s="6"/>
      <c r="Y250" s="6"/>
      <c r="Z250" s="6"/>
      <c r="AA250" s="6" t="s">
        <v>48</v>
      </c>
      <c r="AB250" s="8"/>
    </row>
    <row r="251" spans="1:28" s="4" customFormat="1" ht="42" customHeight="1">
      <c r="A251" s="5">
        <v>0</v>
      </c>
      <c r="B251" s="6" t="s">
        <v>1672</v>
      </c>
      <c r="C251" s="7">
        <v>1188</v>
      </c>
      <c r="D251" s="8" t="s">
        <v>1673</v>
      </c>
      <c r="E251" s="8" t="s">
        <v>1674</v>
      </c>
      <c r="F251" s="8" t="s">
        <v>1675</v>
      </c>
      <c r="G251" s="6" t="s">
        <v>81</v>
      </c>
      <c r="H251" s="6" t="s">
        <v>39</v>
      </c>
      <c r="I251" s="8" t="s">
        <v>1216</v>
      </c>
      <c r="J251" s="9">
        <v>1</v>
      </c>
      <c r="K251" s="9">
        <v>190</v>
      </c>
      <c r="L251" s="9">
        <v>2025</v>
      </c>
      <c r="M251" s="8" t="s">
        <v>1676</v>
      </c>
      <c r="N251" s="8" t="s">
        <v>54</v>
      </c>
      <c r="O251" s="8" t="s">
        <v>91</v>
      </c>
      <c r="P251" s="6" t="s">
        <v>44</v>
      </c>
      <c r="Q251" s="8" t="s">
        <v>45</v>
      </c>
      <c r="R251" s="10" t="s">
        <v>1677</v>
      </c>
      <c r="S251" s="11"/>
      <c r="T251" s="6"/>
      <c r="U251" s="24" t="str">
        <f>HYPERLINK("https://media.infra-m.ru/2206/2206241/cover/2206241.jpg", "Обложка")</f>
        <v>Обложка</v>
      </c>
      <c r="V251" s="24" t="str">
        <f>HYPERLINK("https://znanium.ru/catalog/product/2119943", "Ознакомиться")</f>
        <v>Ознакомиться</v>
      </c>
      <c r="W251" s="8" t="s">
        <v>1678</v>
      </c>
      <c r="X251" s="6"/>
      <c r="Y251" s="6"/>
      <c r="Z251" s="6"/>
      <c r="AA251" s="6" t="s">
        <v>369</v>
      </c>
      <c r="AB251" s="8"/>
    </row>
    <row r="252" spans="1:28" s="4" customFormat="1" ht="42" customHeight="1">
      <c r="A252" s="5">
        <v>0</v>
      </c>
      <c r="B252" s="6" t="s">
        <v>1679</v>
      </c>
      <c r="C252" s="13">
        <v>964.8</v>
      </c>
      <c r="D252" s="8" t="s">
        <v>1680</v>
      </c>
      <c r="E252" s="8" t="s">
        <v>1681</v>
      </c>
      <c r="F252" s="8" t="s">
        <v>1682</v>
      </c>
      <c r="G252" s="6" t="s">
        <v>38</v>
      </c>
      <c r="H252" s="6" t="s">
        <v>1019</v>
      </c>
      <c r="I252" s="8" t="s">
        <v>1020</v>
      </c>
      <c r="J252" s="9">
        <v>1</v>
      </c>
      <c r="K252" s="9">
        <v>160</v>
      </c>
      <c r="L252" s="9">
        <v>2025</v>
      </c>
      <c r="M252" s="8" t="s">
        <v>1683</v>
      </c>
      <c r="N252" s="8" t="s">
        <v>284</v>
      </c>
      <c r="O252" s="8" t="s">
        <v>717</v>
      </c>
      <c r="P252" s="6" t="s">
        <v>44</v>
      </c>
      <c r="Q252" s="8" t="s">
        <v>45</v>
      </c>
      <c r="R252" s="10" t="s">
        <v>1684</v>
      </c>
      <c r="S252" s="11"/>
      <c r="T252" s="6"/>
      <c r="U252" s="24" t="str">
        <f>HYPERLINK("https://media.infra-m.ru/2163/2163989/cover/2163989.jpg", "Обложка")</f>
        <v>Обложка</v>
      </c>
      <c r="V252" s="24" t="str">
        <f>HYPERLINK("https://znanium.ru/catalog/product/1857236", "Ознакомиться")</f>
        <v>Ознакомиться</v>
      </c>
      <c r="W252" s="8" t="s">
        <v>971</v>
      </c>
      <c r="X252" s="6"/>
      <c r="Y252" s="6"/>
      <c r="Z252" s="6"/>
      <c r="AA252" s="6" t="s">
        <v>339</v>
      </c>
      <c r="AB252" s="8"/>
    </row>
    <row r="253" spans="1:28" s="4" customFormat="1" ht="51.95" customHeight="1">
      <c r="A253" s="5">
        <v>0</v>
      </c>
      <c r="B253" s="6" t="s">
        <v>1685</v>
      </c>
      <c r="C253" s="7">
        <v>1152</v>
      </c>
      <c r="D253" s="8" t="s">
        <v>1686</v>
      </c>
      <c r="E253" s="8" t="s">
        <v>1687</v>
      </c>
      <c r="F253" s="8" t="s">
        <v>1572</v>
      </c>
      <c r="G253" s="6" t="s">
        <v>81</v>
      </c>
      <c r="H253" s="6" t="s">
        <v>39</v>
      </c>
      <c r="I253" s="8" t="s">
        <v>40</v>
      </c>
      <c r="J253" s="9">
        <v>1</v>
      </c>
      <c r="K253" s="9">
        <v>153</v>
      </c>
      <c r="L253" s="9">
        <v>2026</v>
      </c>
      <c r="M253" s="8" t="s">
        <v>1688</v>
      </c>
      <c r="N253" s="8" t="s">
        <v>229</v>
      </c>
      <c r="O253" s="8" t="s">
        <v>230</v>
      </c>
      <c r="P253" s="6" t="s">
        <v>44</v>
      </c>
      <c r="Q253" s="8" t="s">
        <v>45</v>
      </c>
      <c r="R253" s="10" t="s">
        <v>1689</v>
      </c>
      <c r="S253" s="11"/>
      <c r="T253" s="6"/>
      <c r="U253" s="24" t="str">
        <f>HYPERLINK("https://media.infra-m.ru/2217/2217099/cover/2217099.jpg", "Обложка")</f>
        <v>Обложка</v>
      </c>
      <c r="V253" s="24" t="str">
        <f>HYPERLINK("https://znanium.ru/catalog/product/2217099", "Ознакомиться")</f>
        <v>Ознакомиться</v>
      </c>
      <c r="W253" s="8" t="s">
        <v>1575</v>
      </c>
      <c r="X253" s="6"/>
      <c r="Y253" s="6"/>
      <c r="Z253" s="6"/>
      <c r="AA253" s="6" t="s">
        <v>159</v>
      </c>
      <c r="AB253" s="8"/>
    </row>
    <row r="254" spans="1:28" s="4" customFormat="1" ht="44.1" customHeight="1">
      <c r="A254" s="5">
        <v>0</v>
      </c>
      <c r="B254" s="6" t="s">
        <v>1690</v>
      </c>
      <c r="C254" s="7">
        <v>2284.8000000000002</v>
      </c>
      <c r="D254" s="8" t="s">
        <v>1691</v>
      </c>
      <c r="E254" s="8" t="s">
        <v>1692</v>
      </c>
      <c r="F254" s="8" t="s">
        <v>1693</v>
      </c>
      <c r="G254" s="6" t="s">
        <v>81</v>
      </c>
      <c r="H254" s="6" t="s">
        <v>39</v>
      </c>
      <c r="I254" s="8" t="s">
        <v>40</v>
      </c>
      <c r="J254" s="9">
        <v>1</v>
      </c>
      <c r="K254" s="9">
        <v>367</v>
      </c>
      <c r="L254" s="9">
        <v>2026</v>
      </c>
      <c r="M254" s="8" t="s">
        <v>1694</v>
      </c>
      <c r="N254" s="8" t="s">
        <v>284</v>
      </c>
      <c r="O254" s="8" t="s">
        <v>482</v>
      </c>
      <c r="P254" s="6" t="s">
        <v>44</v>
      </c>
      <c r="Q254" s="8" t="s">
        <v>45</v>
      </c>
      <c r="R254" s="10" t="s">
        <v>1695</v>
      </c>
      <c r="S254" s="11"/>
      <c r="T254" s="6"/>
      <c r="U254" s="24" t="str">
        <f>HYPERLINK("https://media.infra-m.ru/2215/2215362/cover/2215362.jpg", "Обложка")</f>
        <v>Обложка</v>
      </c>
      <c r="V254" s="24" t="str">
        <f>HYPERLINK("https://znanium.ru/catalog/product/2128097", "Ознакомиться")</f>
        <v>Ознакомиться</v>
      </c>
      <c r="W254" s="8" t="s">
        <v>1696</v>
      </c>
      <c r="X254" s="6"/>
      <c r="Y254" s="6"/>
      <c r="Z254" s="6"/>
      <c r="AA254" s="6" t="s">
        <v>119</v>
      </c>
      <c r="AB254" s="8" t="s">
        <v>1697</v>
      </c>
    </row>
    <row r="255" spans="1:28" s="4" customFormat="1" ht="42" customHeight="1">
      <c r="A255" s="5">
        <v>0</v>
      </c>
      <c r="B255" s="6" t="s">
        <v>1698</v>
      </c>
      <c r="C255" s="7">
        <v>1272</v>
      </c>
      <c r="D255" s="8" t="s">
        <v>1699</v>
      </c>
      <c r="E255" s="8" t="s">
        <v>1700</v>
      </c>
      <c r="F255" s="8" t="s">
        <v>1701</v>
      </c>
      <c r="G255" s="6" t="s">
        <v>38</v>
      </c>
      <c r="H255" s="6" t="s">
        <v>39</v>
      </c>
      <c r="I255" s="8" t="s">
        <v>40</v>
      </c>
      <c r="J255" s="9">
        <v>1</v>
      </c>
      <c r="K255" s="9">
        <v>210</v>
      </c>
      <c r="L255" s="9">
        <v>2025</v>
      </c>
      <c r="M255" s="8" t="s">
        <v>1702</v>
      </c>
      <c r="N255" s="8" t="s">
        <v>42</v>
      </c>
      <c r="O255" s="8" t="s">
        <v>43</v>
      </c>
      <c r="P255" s="6" t="s">
        <v>44</v>
      </c>
      <c r="Q255" s="8" t="s">
        <v>45</v>
      </c>
      <c r="R255" s="10" t="s">
        <v>1703</v>
      </c>
      <c r="S255" s="11"/>
      <c r="T255" s="6"/>
      <c r="U255" s="24" t="str">
        <f>HYPERLINK("https://media.infra-m.ru/2179/2179090/cover/2179090.jpg", "Обложка")</f>
        <v>Обложка</v>
      </c>
      <c r="V255" s="24" t="str">
        <f>HYPERLINK("https://znanium.ru/catalog/product/2179090", "Ознакомиться")</f>
        <v>Ознакомиться</v>
      </c>
      <c r="W255" s="8" t="s">
        <v>1704</v>
      </c>
      <c r="X255" s="6"/>
      <c r="Y255" s="6"/>
      <c r="Z255" s="6"/>
      <c r="AA255" s="6" t="s">
        <v>199</v>
      </c>
      <c r="AB255" s="8"/>
    </row>
    <row r="256" spans="1:28" s="4" customFormat="1" ht="42" customHeight="1">
      <c r="A256" s="5">
        <v>0</v>
      </c>
      <c r="B256" s="6" t="s">
        <v>1705</v>
      </c>
      <c r="C256" s="13">
        <v>672</v>
      </c>
      <c r="D256" s="8" t="s">
        <v>1706</v>
      </c>
      <c r="E256" s="8" t="s">
        <v>1707</v>
      </c>
      <c r="F256" s="8" t="s">
        <v>1708</v>
      </c>
      <c r="G256" s="6" t="s">
        <v>38</v>
      </c>
      <c r="H256" s="6" t="s">
        <v>39</v>
      </c>
      <c r="I256" s="8" t="s">
        <v>40</v>
      </c>
      <c r="J256" s="9">
        <v>1</v>
      </c>
      <c r="K256" s="9">
        <v>135</v>
      </c>
      <c r="L256" s="9">
        <v>2021</v>
      </c>
      <c r="M256" s="8" t="s">
        <v>1709</v>
      </c>
      <c r="N256" s="8" t="s">
        <v>42</v>
      </c>
      <c r="O256" s="8" t="s">
        <v>101</v>
      </c>
      <c r="P256" s="6" t="s">
        <v>44</v>
      </c>
      <c r="Q256" s="8" t="s">
        <v>45</v>
      </c>
      <c r="R256" s="10" t="s">
        <v>1710</v>
      </c>
      <c r="S256" s="11"/>
      <c r="T256" s="6"/>
      <c r="U256" s="24" t="str">
        <f>HYPERLINK("https://media.infra-m.ru/1084/1084387/cover/1084387.jpg", "Обложка")</f>
        <v>Обложка</v>
      </c>
      <c r="V256" s="24" t="str">
        <f>HYPERLINK("https://znanium.ru/catalog/product/1084387", "Ознакомиться")</f>
        <v>Ознакомиться</v>
      </c>
      <c r="W256" s="8" t="s">
        <v>1711</v>
      </c>
      <c r="X256" s="6"/>
      <c r="Y256" s="6"/>
      <c r="Z256" s="6"/>
      <c r="AA256" s="6" t="s">
        <v>199</v>
      </c>
      <c r="AB256" s="8"/>
    </row>
    <row r="257" spans="1:28" s="4" customFormat="1" ht="51.95" customHeight="1">
      <c r="A257" s="5">
        <v>0</v>
      </c>
      <c r="B257" s="6" t="s">
        <v>1712</v>
      </c>
      <c r="C257" s="13">
        <v>820.8</v>
      </c>
      <c r="D257" s="8" t="s">
        <v>1713</v>
      </c>
      <c r="E257" s="8" t="s">
        <v>1714</v>
      </c>
      <c r="F257" s="8" t="s">
        <v>1715</v>
      </c>
      <c r="G257" s="6" t="s">
        <v>38</v>
      </c>
      <c r="H257" s="6" t="s">
        <v>39</v>
      </c>
      <c r="I257" s="8" t="s">
        <v>40</v>
      </c>
      <c r="J257" s="9">
        <v>1</v>
      </c>
      <c r="K257" s="9">
        <v>136</v>
      </c>
      <c r="L257" s="9">
        <v>2025</v>
      </c>
      <c r="M257" s="8" t="s">
        <v>1716</v>
      </c>
      <c r="N257" s="8" t="s">
        <v>42</v>
      </c>
      <c r="O257" s="8" t="s">
        <v>101</v>
      </c>
      <c r="P257" s="6" t="s">
        <v>44</v>
      </c>
      <c r="Q257" s="8" t="s">
        <v>45</v>
      </c>
      <c r="R257" s="10" t="s">
        <v>1717</v>
      </c>
      <c r="S257" s="11"/>
      <c r="T257" s="6"/>
      <c r="U257" s="24" t="str">
        <f>HYPERLINK("https://media.infra-m.ru/2184/2184355/cover/2184355.jpg", "Обложка")</f>
        <v>Обложка</v>
      </c>
      <c r="V257" s="24" t="str">
        <f>HYPERLINK("https://znanium.ru/catalog/product/1020714", "Ознакомиться")</f>
        <v>Ознакомиться</v>
      </c>
      <c r="W257" s="8" t="s">
        <v>1718</v>
      </c>
      <c r="X257" s="6"/>
      <c r="Y257" s="6"/>
      <c r="Z257" s="6"/>
      <c r="AA257" s="6" t="s">
        <v>127</v>
      </c>
      <c r="AB257" s="8"/>
    </row>
    <row r="258" spans="1:28" s="4" customFormat="1" ht="44.1" customHeight="1">
      <c r="A258" s="5">
        <v>0</v>
      </c>
      <c r="B258" s="6" t="s">
        <v>1719</v>
      </c>
      <c r="C258" s="13">
        <v>888</v>
      </c>
      <c r="D258" s="8" t="s">
        <v>1720</v>
      </c>
      <c r="E258" s="8" t="s">
        <v>1721</v>
      </c>
      <c r="F258" s="8" t="s">
        <v>1722</v>
      </c>
      <c r="G258" s="6" t="s">
        <v>38</v>
      </c>
      <c r="H258" s="6" t="s">
        <v>39</v>
      </c>
      <c r="I258" s="8" t="s">
        <v>40</v>
      </c>
      <c r="J258" s="9">
        <v>1</v>
      </c>
      <c r="K258" s="9">
        <v>164</v>
      </c>
      <c r="L258" s="9">
        <v>2023</v>
      </c>
      <c r="M258" s="8" t="s">
        <v>1723</v>
      </c>
      <c r="N258" s="8" t="s">
        <v>42</v>
      </c>
      <c r="O258" s="8" t="s">
        <v>101</v>
      </c>
      <c r="P258" s="6" t="s">
        <v>44</v>
      </c>
      <c r="Q258" s="8" t="s">
        <v>45</v>
      </c>
      <c r="R258" s="10" t="s">
        <v>1587</v>
      </c>
      <c r="S258" s="11"/>
      <c r="T258" s="6"/>
      <c r="U258" s="24" t="str">
        <f>HYPERLINK("https://media.infra-m.ru/1912/1912377/cover/1912377.jpg", "Обложка")</f>
        <v>Обложка</v>
      </c>
      <c r="V258" s="24" t="str">
        <f>HYPERLINK("https://znanium.ru/catalog/product/1912377", "Ознакомиться")</f>
        <v>Ознакомиться</v>
      </c>
      <c r="W258" s="8" t="s">
        <v>964</v>
      </c>
      <c r="X258" s="6"/>
      <c r="Y258" s="6"/>
      <c r="Z258" s="6"/>
      <c r="AA258" s="6" t="s">
        <v>94</v>
      </c>
      <c r="AB258" s="8"/>
    </row>
    <row r="259" spans="1:28" s="4" customFormat="1" ht="51.95" customHeight="1">
      <c r="A259" s="5">
        <v>0</v>
      </c>
      <c r="B259" s="6" t="s">
        <v>1724</v>
      </c>
      <c r="C259" s="13">
        <v>684</v>
      </c>
      <c r="D259" s="8" t="s">
        <v>1725</v>
      </c>
      <c r="E259" s="8" t="s">
        <v>1726</v>
      </c>
      <c r="F259" s="8" t="s">
        <v>1727</v>
      </c>
      <c r="G259" s="6" t="s">
        <v>38</v>
      </c>
      <c r="H259" s="6" t="s">
        <v>1334</v>
      </c>
      <c r="I259" s="8" t="s">
        <v>40</v>
      </c>
      <c r="J259" s="9">
        <v>1</v>
      </c>
      <c r="K259" s="9">
        <v>120</v>
      </c>
      <c r="L259" s="9">
        <v>2021</v>
      </c>
      <c r="M259" s="8" t="s">
        <v>1728</v>
      </c>
      <c r="N259" s="8" t="s">
        <v>42</v>
      </c>
      <c r="O259" s="8" t="s">
        <v>189</v>
      </c>
      <c r="P259" s="6" t="s">
        <v>44</v>
      </c>
      <c r="Q259" s="8" t="s">
        <v>45</v>
      </c>
      <c r="R259" s="10" t="s">
        <v>731</v>
      </c>
      <c r="S259" s="11"/>
      <c r="T259" s="6"/>
      <c r="U259" s="24" t="str">
        <f>HYPERLINK("https://media.infra-m.ru/1245/1245076/cover/1245076.jpg", "Обложка")</f>
        <v>Обложка</v>
      </c>
      <c r="V259" s="24" t="str">
        <f>HYPERLINK("https://znanium.ru/catalog/product/1245076", "Ознакомиться")</f>
        <v>Ознакомиться</v>
      </c>
      <c r="W259" s="8" t="s">
        <v>1336</v>
      </c>
      <c r="X259" s="6"/>
      <c r="Y259" s="6"/>
      <c r="Z259" s="6"/>
      <c r="AA259" s="6" t="s">
        <v>68</v>
      </c>
      <c r="AB259" s="8"/>
    </row>
    <row r="260" spans="1:28" s="4" customFormat="1" ht="42" customHeight="1">
      <c r="A260" s="5">
        <v>0</v>
      </c>
      <c r="B260" s="6" t="s">
        <v>1729</v>
      </c>
      <c r="C260" s="7">
        <v>1008</v>
      </c>
      <c r="D260" s="8" t="s">
        <v>1730</v>
      </c>
      <c r="E260" s="8" t="s">
        <v>1731</v>
      </c>
      <c r="F260" s="8" t="s">
        <v>1732</v>
      </c>
      <c r="G260" s="6" t="s">
        <v>132</v>
      </c>
      <c r="H260" s="6" t="s">
        <v>39</v>
      </c>
      <c r="I260" s="8" t="s">
        <v>40</v>
      </c>
      <c r="J260" s="9">
        <v>1</v>
      </c>
      <c r="K260" s="9">
        <v>160</v>
      </c>
      <c r="L260" s="9">
        <v>2024</v>
      </c>
      <c r="M260" s="8" t="s">
        <v>1733</v>
      </c>
      <c r="N260" s="8" t="s">
        <v>229</v>
      </c>
      <c r="O260" s="8" t="s">
        <v>230</v>
      </c>
      <c r="P260" s="6" t="s">
        <v>44</v>
      </c>
      <c r="Q260" s="8" t="s">
        <v>45</v>
      </c>
      <c r="R260" s="10" t="s">
        <v>1734</v>
      </c>
      <c r="S260" s="11"/>
      <c r="T260" s="6"/>
      <c r="U260" s="24" t="str">
        <f>HYPERLINK("https://media.infra-m.ru/2099/2099006/cover/2099006.jpg", "Обложка")</f>
        <v>Обложка</v>
      </c>
      <c r="V260" s="24" t="str">
        <f>HYPERLINK("https://znanium.ru/catalog/product/2099006", "Ознакомиться")</f>
        <v>Ознакомиться</v>
      </c>
      <c r="W260" s="8" t="s">
        <v>1735</v>
      </c>
      <c r="X260" s="6"/>
      <c r="Y260" s="6"/>
      <c r="Z260" s="6"/>
      <c r="AA260" s="6" t="s">
        <v>58</v>
      </c>
      <c r="AB260" s="8"/>
    </row>
    <row r="261" spans="1:28" s="4" customFormat="1" ht="42" customHeight="1">
      <c r="A261" s="5">
        <v>0</v>
      </c>
      <c r="B261" s="6" t="s">
        <v>1736</v>
      </c>
      <c r="C261" s="7">
        <v>1108.8</v>
      </c>
      <c r="D261" s="8" t="s">
        <v>1737</v>
      </c>
      <c r="E261" s="8" t="s">
        <v>1738</v>
      </c>
      <c r="F261" s="8" t="s">
        <v>1739</v>
      </c>
      <c r="G261" s="6" t="s">
        <v>38</v>
      </c>
      <c r="H261" s="6" t="s">
        <v>39</v>
      </c>
      <c r="I261" s="8" t="s">
        <v>40</v>
      </c>
      <c r="J261" s="9">
        <v>1</v>
      </c>
      <c r="K261" s="9">
        <v>178</v>
      </c>
      <c r="L261" s="9">
        <v>2026</v>
      </c>
      <c r="M261" s="8" t="s">
        <v>1740</v>
      </c>
      <c r="N261" s="8" t="s">
        <v>42</v>
      </c>
      <c r="O261" s="8" t="s">
        <v>65</v>
      </c>
      <c r="P261" s="6" t="s">
        <v>44</v>
      </c>
      <c r="Q261" s="8" t="s">
        <v>45</v>
      </c>
      <c r="R261" s="10" t="s">
        <v>1741</v>
      </c>
      <c r="S261" s="11"/>
      <c r="T261" s="6"/>
      <c r="U261" s="24" t="str">
        <f>HYPERLINK("https://media.infra-m.ru/2216/2216851/cover/2216851.jpg", "Обложка")</f>
        <v>Обложка</v>
      </c>
      <c r="V261" s="24" t="str">
        <f>HYPERLINK("https://znanium.ru/catalog/product/2032495", "Ознакомиться")</f>
        <v>Ознакомиться</v>
      </c>
      <c r="W261" s="8" t="s">
        <v>305</v>
      </c>
      <c r="X261" s="6"/>
      <c r="Y261" s="6"/>
      <c r="Z261" s="6"/>
      <c r="AA261" s="6" t="s">
        <v>119</v>
      </c>
      <c r="AB261" s="8"/>
    </row>
    <row r="262" spans="1:28" s="4" customFormat="1" ht="51.95" customHeight="1">
      <c r="A262" s="5">
        <v>0</v>
      </c>
      <c r="B262" s="6" t="s">
        <v>1742</v>
      </c>
      <c r="C262" s="7">
        <v>2304</v>
      </c>
      <c r="D262" s="8" t="s">
        <v>1743</v>
      </c>
      <c r="E262" s="8" t="s">
        <v>1744</v>
      </c>
      <c r="F262" s="8" t="s">
        <v>1745</v>
      </c>
      <c r="G262" s="6" t="s">
        <v>132</v>
      </c>
      <c r="H262" s="6" t="s">
        <v>39</v>
      </c>
      <c r="I262" s="8" t="s">
        <v>40</v>
      </c>
      <c r="J262" s="9">
        <v>1</v>
      </c>
      <c r="K262" s="9">
        <v>418</v>
      </c>
      <c r="L262" s="9">
        <v>2024</v>
      </c>
      <c r="M262" s="8" t="s">
        <v>1746</v>
      </c>
      <c r="N262" s="8" t="s">
        <v>284</v>
      </c>
      <c r="O262" s="8" t="s">
        <v>328</v>
      </c>
      <c r="P262" s="6" t="s">
        <v>44</v>
      </c>
      <c r="Q262" s="8" t="s">
        <v>45</v>
      </c>
      <c r="R262" s="10" t="s">
        <v>1747</v>
      </c>
      <c r="S262" s="11"/>
      <c r="T262" s="6" t="s">
        <v>1080</v>
      </c>
      <c r="U262" s="24" t="str">
        <f>HYPERLINK("https://media.infra-m.ru/1904/1904857/cover/1904857.jpg", "Обложка")</f>
        <v>Обложка</v>
      </c>
      <c r="V262" s="24" t="str">
        <f>HYPERLINK("https://znanium.ru/catalog/product/1904857", "Ознакомиться")</f>
        <v>Ознакомиться</v>
      </c>
      <c r="W262" s="8" t="s">
        <v>1362</v>
      </c>
      <c r="X262" s="6"/>
      <c r="Y262" s="6"/>
      <c r="Z262" s="6"/>
      <c r="AA262" s="6" t="s">
        <v>68</v>
      </c>
      <c r="AB262" s="8"/>
    </row>
    <row r="263" spans="1:28" s="4" customFormat="1" ht="42" customHeight="1">
      <c r="A263" s="5">
        <v>0</v>
      </c>
      <c r="B263" s="6" t="s">
        <v>1748</v>
      </c>
      <c r="C263" s="7">
        <v>1596</v>
      </c>
      <c r="D263" s="8" t="s">
        <v>1749</v>
      </c>
      <c r="E263" s="8" t="s">
        <v>1750</v>
      </c>
      <c r="F263" s="8" t="s">
        <v>1751</v>
      </c>
      <c r="G263" s="6" t="s">
        <v>38</v>
      </c>
      <c r="H263" s="6" t="s">
        <v>182</v>
      </c>
      <c r="I263" s="8"/>
      <c r="J263" s="9">
        <v>1</v>
      </c>
      <c r="K263" s="9">
        <v>256</v>
      </c>
      <c r="L263" s="9">
        <v>2025</v>
      </c>
      <c r="M263" s="8" t="s">
        <v>1752</v>
      </c>
      <c r="N263" s="8" t="s">
        <v>42</v>
      </c>
      <c r="O263" s="8" t="s">
        <v>1315</v>
      </c>
      <c r="P263" s="6" t="s">
        <v>44</v>
      </c>
      <c r="Q263" s="8" t="s">
        <v>45</v>
      </c>
      <c r="R263" s="10" t="s">
        <v>1753</v>
      </c>
      <c r="S263" s="11"/>
      <c r="T263" s="6"/>
      <c r="U263" s="24" t="str">
        <f>HYPERLINK("https://media.infra-m.ru/2193/2193023/cover/2193023.jpg", "Обложка")</f>
        <v>Обложка</v>
      </c>
      <c r="V263" s="12"/>
      <c r="W263" s="8" t="s">
        <v>361</v>
      </c>
      <c r="X263" s="6"/>
      <c r="Y263" s="6"/>
      <c r="Z263" s="6"/>
      <c r="AA263" s="6" t="s">
        <v>76</v>
      </c>
      <c r="AB263" s="8"/>
    </row>
    <row r="264" spans="1:28" s="4" customFormat="1" ht="51.95" customHeight="1">
      <c r="A264" s="5">
        <v>0</v>
      </c>
      <c r="B264" s="6" t="s">
        <v>1754</v>
      </c>
      <c r="C264" s="7">
        <v>1428</v>
      </c>
      <c r="D264" s="8" t="s">
        <v>1755</v>
      </c>
      <c r="E264" s="8" t="s">
        <v>1756</v>
      </c>
      <c r="F264" s="8" t="s">
        <v>1757</v>
      </c>
      <c r="G264" s="6" t="s">
        <v>81</v>
      </c>
      <c r="H264" s="6" t="s">
        <v>39</v>
      </c>
      <c r="I264" s="8" t="s">
        <v>40</v>
      </c>
      <c r="J264" s="9">
        <v>1</v>
      </c>
      <c r="K264" s="9">
        <v>230</v>
      </c>
      <c r="L264" s="9">
        <v>2019</v>
      </c>
      <c r="M264" s="8" t="s">
        <v>1758</v>
      </c>
      <c r="N264" s="8" t="s">
        <v>229</v>
      </c>
      <c r="O264" s="8" t="s">
        <v>230</v>
      </c>
      <c r="P264" s="6" t="s">
        <v>44</v>
      </c>
      <c r="Q264" s="8" t="s">
        <v>45</v>
      </c>
      <c r="R264" s="10" t="s">
        <v>1759</v>
      </c>
      <c r="S264" s="11"/>
      <c r="T264" s="6"/>
      <c r="U264" s="24" t="str">
        <f>HYPERLINK("https://media.infra-m.ru/1038/1038801/cover/1038801.jpg", "Обложка")</f>
        <v>Обложка</v>
      </c>
      <c r="V264" s="24" t="str">
        <f>HYPERLINK("https://znanium.ru/catalog/product/966771", "Ознакомиться")</f>
        <v>Ознакомиться</v>
      </c>
      <c r="W264" s="8" t="s">
        <v>1575</v>
      </c>
      <c r="X264" s="6"/>
      <c r="Y264" s="6"/>
      <c r="Z264" s="6"/>
      <c r="AA264" s="6" t="s">
        <v>76</v>
      </c>
      <c r="AB264" s="8"/>
    </row>
    <row r="265" spans="1:28" s="4" customFormat="1" ht="44.1" customHeight="1">
      <c r="A265" s="5">
        <v>0</v>
      </c>
      <c r="B265" s="6" t="s">
        <v>1760</v>
      </c>
      <c r="C265" s="7">
        <v>1348.8</v>
      </c>
      <c r="D265" s="8" t="s">
        <v>1761</v>
      </c>
      <c r="E265" s="8" t="s">
        <v>1762</v>
      </c>
      <c r="F265" s="8" t="s">
        <v>1763</v>
      </c>
      <c r="G265" s="6" t="s">
        <v>38</v>
      </c>
      <c r="H265" s="6" t="s">
        <v>99</v>
      </c>
      <c r="I265" s="8"/>
      <c r="J265" s="9">
        <v>1</v>
      </c>
      <c r="K265" s="9">
        <v>224</v>
      </c>
      <c r="L265" s="9">
        <v>2025</v>
      </c>
      <c r="M265" s="8" t="s">
        <v>1764</v>
      </c>
      <c r="N265" s="8" t="s">
        <v>42</v>
      </c>
      <c r="O265" s="8" t="s">
        <v>101</v>
      </c>
      <c r="P265" s="6" t="s">
        <v>44</v>
      </c>
      <c r="Q265" s="8" t="s">
        <v>1152</v>
      </c>
      <c r="R265" s="10" t="s">
        <v>1765</v>
      </c>
      <c r="S265" s="11"/>
      <c r="T265" s="6"/>
      <c r="U265" s="24" t="str">
        <f>HYPERLINK("https://media.infra-m.ru/2184/2184432/cover/2184432.jpg", "Обложка")</f>
        <v>Обложка</v>
      </c>
      <c r="V265" s="24" t="str">
        <f>HYPERLINK("https://znanium.ru/catalog/product/1776796", "Ознакомиться")</f>
        <v>Ознакомиться</v>
      </c>
      <c r="W265" s="8" t="s">
        <v>418</v>
      </c>
      <c r="X265" s="6"/>
      <c r="Y265" s="6"/>
      <c r="Z265" s="6"/>
      <c r="AA265" s="6" t="s">
        <v>290</v>
      </c>
      <c r="AB265" s="8"/>
    </row>
    <row r="266" spans="1:28" s="4" customFormat="1" ht="42" customHeight="1">
      <c r="A266" s="5">
        <v>0</v>
      </c>
      <c r="B266" s="6" t="s">
        <v>1766</v>
      </c>
      <c r="C266" s="7">
        <v>1127.9000000000001</v>
      </c>
      <c r="D266" s="8" t="s">
        <v>1767</v>
      </c>
      <c r="E266" s="8" t="s">
        <v>1768</v>
      </c>
      <c r="F266" s="8" t="s">
        <v>1769</v>
      </c>
      <c r="G266" s="6" t="s">
        <v>1770</v>
      </c>
      <c r="H266" s="6" t="s">
        <v>99</v>
      </c>
      <c r="I266" s="8"/>
      <c r="J266" s="9">
        <v>1</v>
      </c>
      <c r="K266" s="9">
        <v>224</v>
      </c>
      <c r="L266" s="9">
        <v>2018</v>
      </c>
      <c r="M266" s="8" t="s">
        <v>1771</v>
      </c>
      <c r="N266" s="8" t="s">
        <v>42</v>
      </c>
      <c r="O266" s="8" t="s">
        <v>65</v>
      </c>
      <c r="P266" s="6" t="s">
        <v>44</v>
      </c>
      <c r="Q266" s="8" t="s">
        <v>45</v>
      </c>
      <c r="R266" s="10" t="s">
        <v>1772</v>
      </c>
      <c r="S266" s="11"/>
      <c r="T266" s="6"/>
      <c r="U266" s="24" t="str">
        <f>HYPERLINK("https://media.infra-m.ru/0988/0988408/cover/988408.jpg", "Обложка")</f>
        <v>Обложка</v>
      </c>
      <c r="V266" s="24" t="str">
        <f>HYPERLINK("https://znanium.ru/catalog/product/960153", "Ознакомиться")</f>
        <v>Ознакомиться</v>
      </c>
      <c r="W266" s="8"/>
      <c r="X266" s="6"/>
      <c r="Y266" s="6"/>
      <c r="Z266" s="6"/>
      <c r="AA266" s="6" t="s">
        <v>68</v>
      </c>
      <c r="AB266" s="8"/>
    </row>
    <row r="267" spans="1:28" s="4" customFormat="1" ht="44.1" customHeight="1">
      <c r="A267" s="5">
        <v>0</v>
      </c>
      <c r="B267" s="6" t="s">
        <v>1773</v>
      </c>
      <c r="C267" s="7">
        <v>1132.8</v>
      </c>
      <c r="D267" s="8" t="s">
        <v>1774</v>
      </c>
      <c r="E267" s="8" t="s">
        <v>1775</v>
      </c>
      <c r="F267" s="8" t="s">
        <v>1776</v>
      </c>
      <c r="G267" s="6" t="s">
        <v>81</v>
      </c>
      <c r="H267" s="6" t="s">
        <v>39</v>
      </c>
      <c r="I267" s="8" t="s">
        <v>40</v>
      </c>
      <c r="J267" s="9">
        <v>1</v>
      </c>
      <c r="K267" s="9">
        <v>208</v>
      </c>
      <c r="L267" s="9">
        <v>2023</v>
      </c>
      <c r="M267" s="8" t="s">
        <v>1777</v>
      </c>
      <c r="N267" s="8" t="s">
        <v>42</v>
      </c>
      <c r="O267" s="8" t="s">
        <v>101</v>
      </c>
      <c r="P267" s="6" t="s">
        <v>44</v>
      </c>
      <c r="Q267" s="8" t="s">
        <v>45</v>
      </c>
      <c r="R267" s="10" t="s">
        <v>1778</v>
      </c>
      <c r="S267" s="11"/>
      <c r="T267" s="6"/>
      <c r="U267" s="24" t="str">
        <f>HYPERLINK("https://media.infra-m.ru/2006/2006094/cover/2006094.jpg", "Обложка")</f>
        <v>Обложка</v>
      </c>
      <c r="V267" s="24" t="str">
        <f>HYPERLINK("https://znanium.ru/catalog/product/1038438", "Ознакомиться")</f>
        <v>Ознакомиться</v>
      </c>
      <c r="W267" s="8" t="s">
        <v>1779</v>
      </c>
      <c r="X267" s="6"/>
      <c r="Y267" s="6"/>
      <c r="Z267" s="6"/>
      <c r="AA267" s="6" t="s">
        <v>369</v>
      </c>
      <c r="AB267" s="8"/>
    </row>
    <row r="268" spans="1:28" s="4" customFormat="1" ht="42" customHeight="1">
      <c r="A268" s="5">
        <v>0</v>
      </c>
      <c r="B268" s="6" t="s">
        <v>1780</v>
      </c>
      <c r="C268" s="7">
        <v>1020</v>
      </c>
      <c r="D268" s="8" t="s">
        <v>1781</v>
      </c>
      <c r="E268" s="8" t="s">
        <v>1782</v>
      </c>
      <c r="F268" s="8" t="s">
        <v>1783</v>
      </c>
      <c r="G268" s="6" t="s">
        <v>132</v>
      </c>
      <c r="H268" s="6" t="s">
        <v>39</v>
      </c>
      <c r="I268" s="8" t="s">
        <v>40</v>
      </c>
      <c r="J268" s="9">
        <v>1</v>
      </c>
      <c r="K268" s="9">
        <v>236</v>
      </c>
      <c r="L268" s="9">
        <v>2025</v>
      </c>
      <c r="M268" s="8" t="s">
        <v>1784</v>
      </c>
      <c r="N268" s="8" t="s">
        <v>284</v>
      </c>
      <c r="O268" s="8" t="s">
        <v>285</v>
      </c>
      <c r="P268" s="6" t="s">
        <v>44</v>
      </c>
      <c r="Q268" s="8" t="s">
        <v>45</v>
      </c>
      <c r="R268" s="10" t="s">
        <v>1785</v>
      </c>
      <c r="S268" s="11"/>
      <c r="T268" s="6"/>
      <c r="U268" s="24" t="str">
        <f>HYPERLINK("https://media.infra-m.ru/2169/2169050/cover/2169050.jpg", "Обложка")</f>
        <v>Обложка</v>
      </c>
      <c r="V268" s="12"/>
      <c r="W268" s="8" t="s">
        <v>1786</v>
      </c>
      <c r="X268" s="6"/>
      <c r="Y268" s="6"/>
      <c r="Z268" s="6"/>
      <c r="AA268" s="6" t="s">
        <v>159</v>
      </c>
      <c r="AB268" s="8"/>
    </row>
    <row r="269" spans="1:28" s="4" customFormat="1" ht="51.95" customHeight="1">
      <c r="A269" s="5">
        <v>0</v>
      </c>
      <c r="B269" s="6" t="s">
        <v>1787</v>
      </c>
      <c r="C269" s="13">
        <v>628.79999999999995</v>
      </c>
      <c r="D269" s="8" t="s">
        <v>1788</v>
      </c>
      <c r="E269" s="8" t="s">
        <v>1789</v>
      </c>
      <c r="F269" s="8" t="s">
        <v>1790</v>
      </c>
      <c r="G269" s="6" t="s">
        <v>38</v>
      </c>
      <c r="H269" s="6" t="s">
        <v>182</v>
      </c>
      <c r="I269" s="8" t="s">
        <v>40</v>
      </c>
      <c r="J269" s="9">
        <v>1</v>
      </c>
      <c r="K269" s="9">
        <v>98</v>
      </c>
      <c r="L269" s="9">
        <v>2024</v>
      </c>
      <c r="M269" s="8" t="s">
        <v>1791</v>
      </c>
      <c r="N269" s="8" t="s">
        <v>42</v>
      </c>
      <c r="O269" s="8" t="s">
        <v>1035</v>
      </c>
      <c r="P269" s="6" t="s">
        <v>44</v>
      </c>
      <c r="Q269" s="8" t="s">
        <v>1152</v>
      </c>
      <c r="R269" s="10" t="s">
        <v>1792</v>
      </c>
      <c r="S269" s="11"/>
      <c r="T269" s="6"/>
      <c r="U269" s="24" t="str">
        <f>HYPERLINK("https://media.infra-m.ru/2132/2132537/cover/2132537.jpg", "Обложка")</f>
        <v>Обложка</v>
      </c>
      <c r="V269" s="24" t="str">
        <f>HYPERLINK("https://znanium.ru/catalog/product/2079623", "Ознакомиться")</f>
        <v>Ознакомиться</v>
      </c>
      <c r="W269" s="8" t="s">
        <v>516</v>
      </c>
      <c r="X269" s="6"/>
      <c r="Y269" s="6"/>
      <c r="Z269" s="6"/>
      <c r="AA269" s="6" t="s">
        <v>339</v>
      </c>
      <c r="AB269" s="8"/>
    </row>
    <row r="270" spans="1:28" s="4" customFormat="1" ht="51.95" customHeight="1">
      <c r="A270" s="5">
        <v>0</v>
      </c>
      <c r="B270" s="6" t="s">
        <v>1793</v>
      </c>
      <c r="C270" s="13">
        <v>924</v>
      </c>
      <c r="D270" s="8" t="s">
        <v>1794</v>
      </c>
      <c r="E270" s="8" t="s">
        <v>1795</v>
      </c>
      <c r="F270" s="8" t="s">
        <v>1796</v>
      </c>
      <c r="G270" s="6" t="s">
        <v>81</v>
      </c>
      <c r="H270" s="6" t="s">
        <v>99</v>
      </c>
      <c r="I270" s="8"/>
      <c r="J270" s="9">
        <v>1</v>
      </c>
      <c r="K270" s="9">
        <v>160</v>
      </c>
      <c r="L270" s="9">
        <v>2024</v>
      </c>
      <c r="M270" s="8" t="s">
        <v>1797</v>
      </c>
      <c r="N270" s="8" t="s">
        <v>42</v>
      </c>
      <c r="O270" s="8" t="s">
        <v>101</v>
      </c>
      <c r="P270" s="6" t="s">
        <v>44</v>
      </c>
      <c r="Q270" s="8" t="s">
        <v>45</v>
      </c>
      <c r="R270" s="10" t="s">
        <v>1798</v>
      </c>
      <c r="S270" s="11"/>
      <c r="T270" s="6"/>
      <c r="U270" s="24" t="str">
        <f>HYPERLINK("https://media.infra-m.ru/2133/2133512/cover/2133512.jpg", "Обложка")</f>
        <v>Обложка</v>
      </c>
      <c r="V270" s="24" t="str">
        <f>HYPERLINK("https://znanium.ru/catalog/product/2133512", "Ознакомиться")</f>
        <v>Ознакомиться</v>
      </c>
      <c r="W270" s="8" t="s">
        <v>103</v>
      </c>
      <c r="X270" s="6"/>
      <c r="Y270" s="6"/>
      <c r="Z270" s="6"/>
      <c r="AA270" s="6" t="s">
        <v>369</v>
      </c>
      <c r="AB270" s="8"/>
    </row>
    <row r="271" spans="1:28" s="4" customFormat="1" ht="51.95" customHeight="1">
      <c r="A271" s="5">
        <v>0</v>
      </c>
      <c r="B271" s="6" t="s">
        <v>1799</v>
      </c>
      <c r="C271" s="13">
        <v>900</v>
      </c>
      <c r="D271" s="8" t="s">
        <v>1800</v>
      </c>
      <c r="E271" s="8" t="s">
        <v>1801</v>
      </c>
      <c r="F271" s="8" t="s">
        <v>1802</v>
      </c>
      <c r="G271" s="6" t="s">
        <v>38</v>
      </c>
      <c r="H271" s="6" t="s">
        <v>39</v>
      </c>
      <c r="I271" s="8" t="s">
        <v>1803</v>
      </c>
      <c r="J271" s="9">
        <v>1</v>
      </c>
      <c r="K271" s="9">
        <v>161</v>
      </c>
      <c r="L271" s="9">
        <v>2024</v>
      </c>
      <c r="M271" s="8" t="s">
        <v>1804</v>
      </c>
      <c r="N271" s="8" t="s">
        <v>42</v>
      </c>
      <c r="O271" s="8" t="s">
        <v>101</v>
      </c>
      <c r="P271" s="6" t="s">
        <v>44</v>
      </c>
      <c r="Q271" s="8" t="s">
        <v>45</v>
      </c>
      <c r="R271" s="10" t="s">
        <v>1805</v>
      </c>
      <c r="S271" s="11"/>
      <c r="T271" s="6"/>
      <c r="U271" s="24" t="str">
        <f>HYPERLINK("https://media.infra-m.ru/2104/2104852/cover/2104852.jpg", "Обложка")</f>
        <v>Обложка</v>
      </c>
      <c r="V271" s="24" t="str">
        <f>HYPERLINK("https://znanium.ru/catalog/product/2104852", "Ознакомиться")</f>
        <v>Ознакомиться</v>
      </c>
      <c r="W271" s="8" t="s">
        <v>167</v>
      </c>
      <c r="X271" s="6"/>
      <c r="Y271" s="6"/>
      <c r="Z271" s="6"/>
      <c r="AA271" s="6" t="s">
        <v>76</v>
      </c>
      <c r="AB271" s="8"/>
    </row>
    <row r="272" spans="1:28" s="4" customFormat="1" ht="42" customHeight="1">
      <c r="A272" s="5">
        <v>0</v>
      </c>
      <c r="B272" s="6" t="s">
        <v>1806</v>
      </c>
      <c r="C272" s="7">
        <v>1248</v>
      </c>
      <c r="D272" s="8" t="s">
        <v>1807</v>
      </c>
      <c r="E272" s="8" t="s">
        <v>1808</v>
      </c>
      <c r="F272" s="8" t="s">
        <v>1809</v>
      </c>
      <c r="G272" s="6" t="s">
        <v>38</v>
      </c>
      <c r="H272" s="6" t="s">
        <v>1019</v>
      </c>
      <c r="I272" s="8" t="s">
        <v>1020</v>
      </c>
      <c r="J272" s="9">
        <v>1</v>
      </c>
      <c r="K272" s="9">
        <v>231</v>
      </c>
      <c r="L272" s="9">
        <v>2023</v>
      </c>
      <c r="M272" s="8" t="s">
        <v>1810</v>
      </c>
      <c r="N272" s="8" t="s">
        <v>42</v>
      </c>
      <c r="O272" s="8" t="s">
        <v>189</v>
      </c>
      <c r="P272" s="6" t="s">
        <v>44</v>
      </c>
      <c r="Q272" s="8" t="s">
        <v>45</v>
      </c>
      <c r="R272" s="10" t="s">
        <v>1811</v>
      </c>
      <c r="S272" s="11"/>
      <c r="T272" s="6" t="s">
        <v>1080</v>
      </c>
      <c r="U272" s="24" t="str">
        <f>HYPERLINK("https://media.infra-m.ru/2019/2019751/cover/2019751.jpg", "Обложка")</f>
        <v>Обложка</v>
      </c>
      <c r="V272" s="24" t="str">
        <f>HYPERLINK("https://znanium.ru/catalog/product/2019751", "Ознакомиться")</f>
        <v>Ознакомиться</v>
      </c>
      <c r="W272" s="8" t="s">
        <v>167</v>
      </c>
      <c r="X272" s="6"/>
      <c r="Y272" s="6"/>
      <c r="Z272" s="6"/>
      <c r="AA272" s="6" t="s">
        <v>377</v>
      </c>
      <c r="AB272" s="8"/>
    </row>
    <row r="273" spans="1:28" s="4" customFormat="1" ht="44.1" customHeight="1">
      <c r="A273" s="5">
        <v>0</v>
      </c>
      <c r="B273" s="6" t="s">
        <v>1812</v>
      </c>
      <c r="C273" s="13">
        <v>425.9</v>
      </c>
      <c r="D273" s="8" t="s">
        <v>1813</v>
      </c>
      <c r="E273" s="8" t="s">
        <v>1814</v>
      </c>
      <c r="F273" s="8" t="s">
        <v>1815</v>
      </c>
      <c r="G273" s="6" t="s">
        <v>38</v>
      </c>
      <c r="H273" s="6" t="s">
        <v>39</v>
      </c>
      <c r="I273" s="8" t="s">
        <v>40</v>
      </c>
      <c r="J273" s="9">
        <v>1</v>
      </c>
      <c r="K273" s="9">
        <v>132</v>
      </c>
      <c r="L273" s="9">
        <v>2017</v>
      </c>
      <c r="M273" s="8" t="s">
        <v>1816</v>
      </c>
      <c r="N273" s="8" t="s">
        <v>42</v>
      </c>
      <c r="O273" s="8" t="s">
        <v>189</v>
      </c>
      <c r="P273" s="6" t="s">
        <v>44</v>
      </c>
      <c r="Q273" s="8" t="s">
        <v>45</v>
      </c>
      <c r="R273" s="10" t="s">
        <v>1817</v>
      </c>
      <c r="S273" s="11"/>
      <c r="T273" s="6"/>
      <c r="U273" s="24" t="str">
        <f>HYPERLINK("https://media.infra-m.ru/0917/0917961/cover/917961.jpg", "Обложка")</f>
        <v>Обложка</v>
      </c>
      <c r="V273" s="24" t="str">
        <f>HYPERLINK("https://znanium.ru/catalog/product/997029", "Ознакомиться")</f>
        <v>Ознакомиться</v>
      </c>
      <c r="W273" s="8" t="s">
        <v>167</v>
      </c>
      <c r="X273" s="6"/>
      <c r="Y273" s="6"/>
      <c r="Z273" s="6"/>
      <c r="AA273" s="6" t="s">
        <v>377</v>
      </c>
      <c r="AB273" s="8"/>
    </row>
    <row r="274" spans="1:28" s="4" customFormat="1" ht="44.1" customHeight="1">
      <c r="A274" s="5">
        <v>0</v>
      </c>
      <c r="B274" s="6" t="s">
        <v>1818</v>
      </c>
      <c r="C274" s="13">
        <v>480</v>
      </c>
      <c r="D274" s="8" t="s">
        <v>1819</v>
      </c>
      <c r="E274" s="8" t="s">
        <v>1820</v>
      </c>
      <c r="F274" s="8" t="s">
        <v>1815</v>
      </c>
      <c r="G274" s="6" t="s">
        <v>38</v>
      </c>
      <c r="H274" s="6" t="s">
        <v>39</v>
      </c>
      <c r="I274" s="8" t="s">
        <v>40</v>
      </c>
      <c r="J274" s="9">
        <v>1</v>
      </c>
      <c r="K274" s="9">
        <v>132</v>
      </c>
      <c r="L274" s="9">
        <v>2018</v>
      </c>
      <c r="M274" s="8" t="s">
        <v>1816</v>
      </c>
      <c r="N274" s="8" t="s">
        <v>42</v>
      </c>
      <c r="O274" s="8" t="s">
        <v>189</v>
      </c>
      <c r="P274" s="6" t="s">
        <v>44</v>
      </c>
      <c r="Q274" s="8" t="s">
        <v>45</v>
      </c>
      <c r="R274" s="10" t="s">
        <v>1817</v>
      </c>
      <c r="S274" s="11"/>
      <c r="T274" s="6" t="s">
        <v>1080</v>
      </c>
      <c r="U274" s="24" t="str">
        <f>HYPERLINK("https://media.infra-m.ru/0958/0958343/cover/958343.jpg", "Обложка")</f>
        <v>Обложка</v>
      </c>
      <c r="V274" s="24" t="str">
        <f>HYPERLINK("https://znanium.ru/catalog/product/997029", "Ознакомиться")</f>
        <v>Ознакомиться</v>
      </c>
      <c r="W274" s="8" t="s">
        <v>167</v>
      </c>
      <c r="X274" s="6"/>
      <c r="Y274" s="6"/>
      <c r="Z274" s="6"/>
      <c r="AA274" s="6" t="s">
        <v>277</v>
      </c>
      <c r="AB274" s="8"/>
    </row>
    <row r="275" spans="1:28" s="4" customFormat="1" ht="44.1" customHeight="1">
      <c r="A275" s="5">
        <v>0</v>
      </c>
      <c r="B275" s="6" t="s">
        <v>1821</v>
      </c>
      <c r="C275" s="13">
        <v>600</v>
      </c>
      <c r="D275" s="8" t="s">
        <v>1822</v>
      </c>
      <c r="E275" s="8" t="s">
        <v>1823</v>
      </c>
      <c r="F275" s="8" t="s">
        <v>1824</v>
      </c>
      <c r="G275" s="6" t="s">
        <v>38</v>
      </c>
      <c r="H275" s="6" t="s">
        <v>39</v>
      </c>
      <c r="I275" s="8" t="s">
        <v>1803</v>
      </c>
      <c r="J275" s="9">
        <v>1</v>
      </c>
      <c r="K275" s="9">
        <v>146</v>
      </c>
      <c r="L275" s="9">
        <v>2019</v>
      </c>
      <c r="M275" s="8" t="s">
        <v>1825</v>
      </c>
      <c r="N275" s="8" t="s">
        <v>42</v>
      </c>
      <c r="O275" s="8" t="s">
        <v>189</v>
      </c>
      <c r="P275" s="6" t="s">
        <v>44</v>
      </c>
      <c r="Q275" s="8" t="s">
        <v>45</v>
      </c>
      <c r="R275" s="10" t="s">
        <v>1817</v>
      </c>
      <c r="S275" s="11"/>
      <c r="T275" s="6" t="s">
        <v>1080</v>
      </c>
      <c r="U275" s="24" t="str">
        <f>HYPERLINK("https://media.infra-m.ru/0997/0997029/cover/997029.jpg", "Обложка")</f>
        <v>Обложка</v>
      </c>
      <c r="V275" s="24" t="str">
        <f>HYPERLINK("https://znanium.ru/catalog/product/997029", "Ознакомиться")</f>
        <v>Ознакомиться</v>
      </c>
      <c r="W275" s="8" t="s">
        <v>167</v>
      </c>
      <c r="X275" s="6"/>
      <c r="Y275" s="6"/>
      <c r="Z275" s="6"/>
      <c r="AA275" s="6" t="s">
        <v>1826</v>
      </c>
      <c r="AB275" s="8"/>
    </row>
    <row r="276" spans="1:28" s="4" customFormat="1" ht="42" customHeight="1">
      <c r="A276" s="5">
        <v>0</v>
      </c>
      <c r="B276" s="6" t="s">
        <v>1827</v>
      </c>
      <c r="C276" s="13">
        <v>964.8</v>
      </c>
      <c r="D276" s="8" t="s">
        <v>1828</v>
      </c>
      <c r="E276" s="8" t="s">
        <v>1829</v>
      </c>
      <c r="F276" s="8" t="s">
        <v>1830</v>
      </c>
      <c r="G276" s="6" t="s">
        <v>38</v>
      </c>
      <c r="H276" s="6" t="s">
        <v>39</v>
      </c>
      <c r="I276" s="8" t="s">
        <v>40</v>
      </c>
      <c r="J276" s="9">
        <v>1</v>
      </c>
      <c r="K276" s="9">
        <v>161</v>
      </c>
      <c r="L276" s="9">
        <v>2025</v>
      </c>
      <c r="M276" s="8" t="s">
        <v>1831</v>
      </c>
      <c r="N276" s="8" t="s">
        <v>42</v>
      </c>
      <c r="O276" s="8" t="s">
        <v>43</v>
      </c>
      <c r="P276" s="6" t="s">
        <v>44</v>
      </c>
      <c r="Q276" s="8" t="s">
        <v>45</v>
      </c>
      <c r="R276" s="10" t="s">
        <v>175</v>
      </c>
      <c r="S276" s="11"/>
      <c r="T276" s="6"/>
      <c r="U276" s="24" t="str">
        <f>HYPERLINK("https://media.infra-m.ru/2173/2173429/cover/2173429.jpg", "Обложка")</f>
        <v>Обложка</v>
      </c>
      <c r="V276" s="24" t="str">
        <f>HYPERLINK("https://znanium.ru/catalog/product/2008792", "Ознакомиться")</f>
        <v>Ознакомиться</v>
      </c>
      <c r="W276" s="8" t="s">
        <v>314</v>
      </c>
      <c r="X276" s="6"/>
      <c r="Y276" s="6"/>
      <c r="Z276" s="6"/>
      <c r="AA276" s="6" t="s">
        <v>199</v>
      </c>
      <c r="AB276" s="8"/>
    </row>
    <row r="277" spans="1:28" s="4" customFormat="1" ht="42" customHeight="1">
      <c r="A277" s="5">
        <v>0</v>
      </c>
      <c r="B277" s="6" t="s">
        <v>1832</v>
      </c>
      <c r="C277" s="7">
        <v>1500</v>
      </c>
      <c r="D277" s="8" t="s">
        <v>1833</v>
      </c>
      <c r="E277" s="8" t="s">
        <v>1834</v>
      </c>
      <c r="F277" s="8" t="s">
        <v>1835</v>
      </c>
      <c r="G277" s="6" t="s">
        <v>38</v>
      </c>
      <c r="H277" s="6" t="s">
        <v>39</v>
      </c>
      <c r="I277" s="8" t="s">
        <v>40</v>
      </c>
      <c r="J277" s="9">
        <v>1</v>
      </c>
      <c r="K277" s="9">
        <v>238</v>
      </c>
      <c r="L277" s="9">
        <v>2025</v>
      </c>
      <c r="M277" s="8" t="s">
        <v>1836</v>
      </c>
      <c r="N277" s="8" t="s">
        <v>42</v>
      </c>
      <c r="O277" s="8" t="s">
        <v>189</v>
      </c>
      <c r="P277" s="6" t="s">
        <v>44</v>
      </c>
      <c r="Q277" s="8" t="s">
        <v>45</v>
      </c>
      <c r="R277" s="10" t="s">
        <v>1426</v>
      </c>
      <c r="S277" s="11"/>
      <c r="T277" s="6"/>
      <c r="U277" s="24" t="str">
        <f>HYPERLINK("https://media.infra-m.ru/2157/2157182/cover/2157182.jpg", "Обложка")</f>
        <v>Обложка</v>
      </c>
      <c r="V277" s="24" t="str">
        <f>HYPERLINK("https://znanium.ru/catalog/product/2157182", "Ознакомиться")</f>
        <v>Ознакомиться</v>
      </c>
      <c r="W277" s="8" t="s">
        <v>1837</v>
      </c>
      <c r="X277" s="6"/>
      <c r="Y277" s="6"/>
      <c r="Z277" s="6"/>
      <c r="AA277" s="6" t="s">
        <v>159</v>
      </c>
      <c r="AB277" s="8"/>
    </row>
    <row r="278" spans="1:28" s="4" customFormat="1" ht="44.1" customHeight="1">
      <c r="A278" s="5">
        <v>0</v>
      </c>
      <c r="B278" s="6" t="s">
        <v>1838</v>
      </c>
      <c r="C278" s="7">
        <v>1336.8</v>
      </c>
      <c r="D278" s="8" t="s">
        <v>1839</v>
      </c>
      <c r="E278" s="8" t="s">
        <v>1840</v>
      </c>
      <c r="F278" s="8" t="s">
        <v>1841</v>
      </c>
      <c r="G278" s="6" t="s">
        <v>132</v>
      </c>
      <c r="H278" s="6" t="s">
        <v>39</v>
      </c>
      <c r="I278" s="8" t="s">
        <v>851</v>
      </c>
      <c r="J278" s="9">
        <v>1</v>
      </c>
      <c r="K278" s="9">
        <v>222</v>
      </c>
      <c r="L278" s="9">
        <v>2025</v>
      </c>
      <c r="M278" s="8" t="s">
        <v>1842</v>
      </c>
      <c r="N278" s="8" t="s">
        <v>42</v>
      </c>
      <c r="O278" s="8" t="s">
        <v>189</v>
      </c>
      <c r="P278" s="6" t="s">
        <v>659</v>
      </c>
      <c r="Q278" s="8" t="s">
        <v>45</v>
      </c>
      <c r="R278" s="10" t="s">
        <v>1843</v>
      </c>
      <c r="S278" s="11"/>
      <c r="T278" s="6"/>
      <c r="U278" s="24" t="str">
        <f>HYPERLINK("https://media.infra-m.ru/2188/2188727/cover/2188727.jpg", "Обложка")</f>
        <v>Обложка</v>
      </c>
      <c r="V278" s="24" t="str">
        <f>HYPERLINK("https://znanium.ru/catalog/product/2107315", "Ознакомиться")</f>
        <v>Ознакомиться</v>
      </c>
      <c r="W278" s="8" t="s">
        <v>1837</v>
      </c>
      <c r="X278" s="6"/>
      <c r="Y278" s="6"/>
      <c r="Z278" s="6"/>
      <c r="AA278" s="6" t="s">
        <v>1050</v>
      </c>
      <c r="AB278" s="8"/>
    </row>
    <row r="279" spans="1:28" s="4" customFormat="1" ht="42" customHeight="1">
      <c r="A279" s="5">
        <v>0</v>
      </c>
      <c r="B279" s="6" t="s">
        <v>1844</v>
      </c>
      <c r="C279" s="7">
        <v>1156.8</v>
      </c>
      <c r="D279" s="8" t="s">
        <v>1845</v>
      </c>
      <c r="E279" s="8" t="s">
        <v>1846</v>
      </c>
      <c r="F279" s="8" t="s">
        <v>1847</v>
      </c>
      <c r="G279" s="6" t="s">
        <v>38</v>
      </c>
      <c r="H279" s="6" t="s">
        <v>39</v>
      </c>
      <c r="I279" s="8" t="s">
        <v>40</v>
      </c>
      <c r="J279" s="9">
        <v>1</v>
      </c>
      <c r="K279" s="9">
        <v>184</v>
      </c>
      <c r="L279" s="9">
        <v>2025</v>
      </c>
      <c r="M279" s="8" t="s">
        <v>1848</v>
      </c>
      <c r="N279" s="8" t="s">
        <v>42</v>
      </c>
      <c r="O279" s="8" t="s">
        <v>189</v>
      </c>
      <c r="P279" s="6" t="s">
        <v>44</v>
      </c>
      <c r="Q279" s="8" t="s">
        <v>45</v>
      </c>
      <c r="R279" s="10" t="s">
        <v>1100</v>
      </c>
      <c r="S279" s="11"/>
      <c r="T279" s="6"/>
      <c r="U279" s="24" t="str">
        <f>HYPERLINK("https://media.infra-m.ru/2197/2197806/cover/2197806.jpg", "Обложка")</f>
        <v>Обложка</v>
      </c>
      <c r="V279" s="24" t="str">
        <f>HYPERLINK("https://znanium.ru/catalog/product/1864077", "Ознакомиться")</f>
        <v>Ознакомиться</v>
      </c>
      <c r="W279" s="8" t="s">
        <v>207</v>
      </c>
      <c r="X279" s="6"/>
      <c r="Y279" s="6"/>
      <c r="Z279" s="6"/>
      <c r="AA279" s="6" t="s">
        <v>199</v>
      </c>
      <c r="AB279" s="8"/>
    </row>
    <row r="280" spans="1:28" s="4" customFormat="1" ht="42" customHeight="1">
      <c r="A280" s="5">
        <v>0</v>
      </c>
      <c r="B280" s="6" t="s">
        <v>1849</v>
      </c>
      <c r="C280" s="13">
        <v>629.9</v>
      </c>
      <c r="D280" s="8" t="s">
        <v>1850</v>
      </c>
      <c r="E280" s="8" t="s">
        <v>1851</v>
      </c>
      <c r="F280" s="8" t="s">
        <v>1852</v>
      </c>
      <c r="G280" s="6" t="s">
        <v>38</v>
      </c>
      <c r="H280" s="6" t="s">
        <v>39</v>
      </c>
      <c r="I280" s="8" t="s">
        <v>40</v>
      </c>
      <c r="J280" s="9">
        <v>1</v>
      </c>
      <c r="K280" s="9">
        <v>152</v>
      </c>
      <c r="L280" s="9">
        <v>2017</v>
      </c>
      <c r="M280" s="8" t="s">
        <v>1853</v>
      </c>
      <c r="N280" s="8" t="s">
        <v>42</v>
      </c>
      <c r="O280" s="8" t="s">
        <v>189</v>
      </c>
      <c r="P280" s="6" t="s">
        <v>44</v>
      </c>
      <c r="Q280" s="8" t="s">
        <v>45</v>
      </c>
      <c r="R280" s="10" t="s">
        <v>1854</v>
      </c>
      <c r="S280" s="11"/>
      <c r="T280" s="6"/>
      <c r="U280" s="24" t="str">
        <f>HYPERLINK("https://media.infra-m.ru/1016/1016606/cover/1016606.jpg", "Обложка")</f>
        <v>Обложка</v>
      </c>
      <c r="V280" s="24" t="str">
        <f>HYPERLINK("https://znanium.ru/catalog/product/1002024", "Ознакомиться")</f>
        <v>Ознакомиться</v>
      </c>
      <c r="W280" s="8"/>
      <c r="X280" s="6"/>
      <c r="Y280" s="6"/>
      <c r="Z280" s="6"/>
      <c r="AA280" s="6" t="s">
        <v>127</v>
      </c>
      <c r="AB280" s="8"/>
    </row>
    <row r="281" spans="1:28" s="4" customFormat="1" ht="51.95" customHeight="1">
      <c r="A281" s="5">
        <v>0</v>
      </c>
      <c r="B281" s="6" t="s">
        <v>1855</v>
      </c>
      <c r="C281" s="7">
        <v>1284</v>
      </c>
      <c r="D281" s="8" t="s">
        <v>1856</v>
      </c>
      <c r="E281" s="8" t="s">
        <v>1857</v>
      </c>
      <c r="F281" s="8" t="s">
        <v>1858</v>
      </c>
      <c r="G281" s="6" t="s">
        <v>81</v>
      </c>
      <c r="H281" s="6" t="s">
        <v>39</v>
      </c>
      <c r="I281" s="8" t="s">
        <v>1055</v>
      </c>
      <c r="J281" s="9">
        <v>1</v>
      </c>
      <c r="K281" s="9">
        <v>193</v>
      </c>
      <c r="L281" s="9">
        <v>2026</v>
      </c>
      <c r="M281" s="8" t="s">
        <v>1859</v>
      </c>
      <c r="N281" s="8" t="s">
        <v>42</v>
      </c>
      <c r="O281" s="8" t="s">
        <v>1035</v>
      </c>
      <c r="P281" s="6" t="s">
        <v>1057</v>
      </c>
      <c r="Q281" s="8"/>
      <c r="R281" s="10" t="s">
        <v>1860</v>
      </c>
      <c r="S281" s="11"/>
      <c r="T281" s="6"/>
      <c r="U281" s="24" t="str">
        <f>HYPERLINK("https://media.infra-m.ru/2228/2228877/cover/2228877.jpg", "Обложка")</f>
        <v>Обложка</v>
      </c>
      <c r="V281" s="24" t="str">
        <f>HYPERLINK("https://znanium.ru/catalog/product/2228877", "Ознакомиться")</f>
        <v>Ознакомиться</v>
      </c>
      <c r="W281" s="8" t="s">
        <v>1861</v>
      </c>
      <c r="X281" s="6"/>
      <c r="Y281" s="6"/>
      <c r="Z281" s="6"/>
      <c r="AA281" s="6" t="s">
        <v>159</v>
      </c>
      <c r="AB281" s="8" t="s">
        <v>766</v>
      </c>
    </row>
    <row r="282" spans="1:28" s="4" customFormat="1" ht="42" customHeight="1">
      <c r="A282" s="5">
        <v>0</v>
      </c>
      <c r="B282" s="6" t="s">
        <v>1862</v>
      </c>
      <c r="C282" s="13">
        <v>257.89999999999998</v>
      </c>
      <c r="D282" s="8" t="s">
        <v>1863</v>
      </c>
      <c r="E282" s="8" t="s">
        <v>1864</v>
      </c>
      <c r="F282" s="8" t="s">
        <v>1865</v>
      </c>
      <c r="G282" s="6" t="s">
        <v>38</v>
      </c>
      <c r="H282" s="6" t="s">
        <v>39</v>
      </c>
      <c r="I282" s="8" t="s">
        <v>40</v>
      </c>
      <c r="J282" s="9">
        <v>1</v>
      </c>
      <c r="K282" s="9">
        <v>68</v>
      </c>
      <c r="L282" s="9">
        <v>2017</v>
      </c>
      <c r="M282" s="8" t="s">
        <v>1866</v>
      </c>
      <c r="N282" s="8" t="s">
        <v>284</v>
      </c>
      <c r="O282" s="8" t="s">
        <v>717</v>
      </c>
      <c r="P282" s="6" t="s">
        <v>44</v>
      </c>
      <c r="Q282" s="8" t="s">
        <v>45</v>
      </c>
      <c r="R282" s="10" t="s">
        <v>718</v>
      </c>
      <c r="S282" s="11"/>
      <c r="T282" s="6"/>
      <c r="U282" s="24" t="str">
        <f>HYPERLINK("https://media.infra-m.ru/0773/0773461/cover/773461.jpg", "Обложка")</f>
        <v>Обложка</v>
      </c>
      <c r="V282" s="12"/>
      <c r="W282" s="8" t="s">
        <v>1867</v>
      </c>
      <c r="X282" s="6"/>
      <c r="Y282" s="6"/>
      <c r="Z282" s="6"/>
      <c r="AA282" s="6" t="s">
        <v>127</v>
      </c>
      <c r="AB282" s="8"/>
    </row>
    <row r="283" spans="1:28" s="4" customFormat="1" ht="42" customHeight="1">
      <c r="A283" s="5">
        <v>0</v>
      </c>
      <c r="B283" s="6" t="s">
        <v>1868</v>
      </c>
      <c r="C283" s="13">
        <v>869.9</v>
      </c>
      <c r="D283" s="8" t="s">
        <v>1869</v>
      </c>
      <c r="E283" s="8" t="s">
        <v>1870</v>
      </c>
      <c r="F283" s="8" t="s">
        <v>1871</v>
      </c>
      <c r="G283" s="6" t="s">
        <v>38</v>
      </c>
      <c r="H283" s="6" t="s">
        <v>39</v>
      </c>
      <c r="I283" s="8" t="s">
        <v>40</v>
      </c>
      <c r="J283" s="9">
        <v>1</v>
      </c>
      <c r="K283" s="9">
        <v>161</v>
      </c>
      <c r="L283" s="9">
        <v>2023</v>
      </c>
      <c r="M283" s="8" t="s">
        <v>1872</v>
      </c>
      <c r="N283" s="8" t="s">
        <v>229</v>
      </c>
      <c r="O283" s="8" t="s">
        <v>230</v>
      </c>
      <c r="P283" s="6" t="s">
        <v>44</v>
      </c>
      <c r="Q283" s="8" t="s">
        <v>45</v>
      </c>
      <c r="R283" s="10" t="s">
        <v>1873</v>
      </c>
      <c r="S283" s="11"/>
      <c r="T283" s="6"/>
      <c r="U283" s="24" t="str">
        <f>HYPERLINK("https://media.infra-m.ru/1976/1976181/cover/1976181.jpg", "Обложка")</f>
        <v>Обложка</v>
      </c>
      <c r="V283" s="24" t="str">
        <f>HYPERLINK("https://znanium.ru/catalog/product/1084388", "Ознакомиться")</f>
        <v>Ознакомиться</v>
      </c>
      <c r="W283" s="8" t="s">
        <v>1874</v>
      </c>
      <c r="X283" s="6"/>
      <c r="Y283" s="6"/>
      <c r="Z283" s="6"/>
      <c r="AA283" s="6" t="s">
        <v>168</v>
      </c>
      <c r="AB283" s="8"/>
    </row>
    <row r="284" spans="1:28" s="4" customFormat="1" ht="51.95" customHeight="1">
      <c r="A284" s="5">
        <v>0</v>
      </c>
      <c r="B284" s="6" t="s">
        <v>1875</v>
      </c>
      <c r="C284" s="7">
        <v>1228.8</v>
      </c>
      <c r="D284" s="8" t="s">
        <v>1876</v>
      </c>
      <c r="E284" s="8" t="s">
        <v>1877</v>
      </c>
      <c r="F284" s="8" t="s">
        <v>1878</v>
      </c>
      <c r="G284" s="6" t="s">
        <v>38</v>
      </c>
      <c r="H284" s="6" t="s">
        <v>39</v>
      </c>
      <c r="I284" s="8" t="s">
        <v>1879</v>
      </c>
      <c r="J284" s="9">
        <v>1</v>
      </c>
      <c r="K284" s="9">
        <v>217</v>
      </c>
      <c r="L284" s="9">
        <v>2023</v>
      </c>
      <c r="M284" s="8" t="s">
        <v>1880</v>
      </c>
      <c r="N284" s="8" t="s">
        <v>220</v>
      </c>
      <c r="O284" s="8" t="s">
        <v>296</v>
      </c>
      <c r="P284" s="6" t="s">
        <v>44</v>
      </c>
      <c r="Q284" s="8" t="s">
        <v>45</v>
      </c>
      <c r="R284" s="10" t="s">
        <v>1881</v>
      </c>
      <c r="S284" s="11"/>
      <c r="T284" s="6"/>
      <c r="U284" s="24" t="str">
        <f>HYPERLINK("https://media.infra-m.ru/2124/2124292/cover/2124292.jpg", "Обложка")</f>
        <v>Обложка</v>
      </c>
      <c r="V284" s="24" t="str">
        <f>HYPERLINK("https://znanium.ru/catalog/product/2121218", "Ознакомиться")</f>
        <v>Ознакомиться</v>
      </c>
      <c r="W284" s="8" t="s">
        <v>1882</v>
      </c>
      <c r="X284" s="6"/>
      <c r="Y284" s="6"/>
      <c r="Z284" s="6"/>
      <c r="AA284" s="6" t="s">
        <v>119</v>
      </c>
      <c r="AB284" s="8"/>
    </row>
    <row r="285" spans="1:28" s="4" customFormat="1" ht="51.95" customHeight="1">
      <c r="A285" s="5">
        <v>0</v>
      </c>
      <c r="B285" s="6" t="s">
        <v>1883</v>
      </c>
      <c r="C285" s="7">
        <v>1272</v>
      </c>
      <c r="D285" s="8" t="s">
        <v>1884</v>
      </c>
      <c r="E285" s="8" t="s">
        <v>1885</v>
      </c>
      <c r="F285" s="8" t="s">
        <v>1751</v>
      </c>
      <c r="G285" s="6" t="s">
        <v>38</v>
      </c>
      <c r="H285" s="6" t="s">
        <v>182</v>
      </c>
      <c r="I285" s="8" t="s">
        <v>40</v>
      </c>
      <c r="J285" s="9">
        <v>1</v>
      </c>
      <c r="K285" s="9">
        <v>184</v>
      </c>
      <c r="L285" s="9">
        <v>2026</v>
      </c>
      <c r="M285" s="8" t="s">
        <v>1886</v>
      </c>
      <c r="N285" s="8" t="s">
        <v>42</v>
      </c>
      <c r="O285" s="8" t="s">
        <v>1315</v>
      </c>
      <c r="P285" s="6" t="s">
        <v>44</v>
      </c>
      <c r="Q285" s="8" t="s">
        <v>45</v>
      </c>
      <c r="R285" s="10" t="s">
        <v>1887</v>
      </c>
      <c r="S285" s="11"/>
      <c r="T285" s="6"/>
      <c r="U285" s="24" t="str">
        <f>HYPERLINK("https://media.infra-m.ru/2224/2224077/cover/2224077.jpg", "Обложка")</f>
        <v>Обложка</v>
      </c>
      <c r="V285" s="12"/>
      <c r="W285" s="8" t="s">
        <v>361</v>
      </c>
      <c r="X285" s="6"/>
      <c r="Y285" s="6"/>
      <c r="Z285" s="6"/>
      <c r="AA285" s="6" t="s">
        <v>76</v>
      </c>
      <c r="AB285" s="8"/>
    </row>
    <row r="286" spans="1:28" s="4" customFormat="1" ht="51.95" customHeight="1">
      <c r="A286" s="5">
        <v>0</v>
      </c>
      <c r="B286" s="6" t="s">
        <v>1888</v>
      </c>
      <c r="C286" s="13">
        <v>232.8</v>
      </c>
      <c r="D286" s="8" t="s">
        <v>1889</v>
      </c>
      <c r="E286" s="8" t="s">
        <v>1890</v>
      </c>
      <c r="F286" s="8" t="s">
        <v>1891</v>
      </c>
      <c r="G286" s="6" t="s">
        <v>1892</v>
      </c>
      <c r="H286" s="6" t="s">
        <v>39</v>
      </c>
      <c r="I286" s="8" t="s">
        <v>1893</v>
      </c>
      <c r="J286" s="9">
        <v>1</v>
      </c>
      <c r="K286" s="9">
        <v>22</v>
      </c>
      <c r="L286" s="9">
        <v>2025</v>
      </c>
      <c r="M286" s="8" t="s">
        <v>1894</v>
      </c>
      <c r="N286" s="8" t="s">
        <v>42</v>
      </c>
      <c r="O286" s="8" t="s">
        <v>101</v>
      </c>
      <c r="P286" s="6" t="s">
        <v>1895</v>
      </c>
      <c r="Q286" s="8" t="s">
        <v>45</v>
      </c>
      <c r="R286" s="10" t="s">
        <v>1896</v>
      </c>
      <c r="S286" s="11"/>
      <c r="T286" s="6" t="s">
        <v>1080</v>
      </c>
      <c r="U286" s="24" t="str">
        <f>HYPERLINK("https://media.infra-m.ru/2200/2200008/cover/2200008.jpg", "Обложка")</f>
        <v>Обложка</v>
      </c>
      <c r="V286" s="24" t="str">
        <f>HYPERLINK("https://znanium.ru/catalog/product/2106215", "Ознакомиться")</f>
        <v>Ознакомиться</v>
      </c>
      <c r="W286" s="8"/>
      <c r="X286" s="6"/>
      <c r="Y286" s="6"/>
      <c r="Z286" s="6"/>
      <c r="AA286" s="6" t="s">
        <v>339</v>
      </c>
      <c r="AB286" s="8"/>
    </row>
    <row r="287" spans="1:28" s="4" customFormat="1" ht="51.95" customHeight="1">
      <c r="A287" s="5">
        <v>0</v>
      </c>
      <c r="B287" s="6" t="s">
        <v>1897</v>
      </c>
      <c r="C287" s="7">
        <v>1984.8</v>
      </c>
      <c r="D287" s="8" t="s">
        <v>1898</v>
      </c>
      <c r="E287" s="8" t="s">
        <v>1899</v>
      </c>
      <c r="F287" s="8" t="s">
        <v>437</v>
      </c>
      <c r="G287" s="6" t="s">
        <v>38</v>
      </c>
      <c r="H287" s="6" t="s">
        <v>39</v>
      </c>
      <c r="I287" s="8" t="s">
        <v>40</v>
      </c>
      <c r="J287" s="9">
        <v>1</v>
      </c>
      <c r="K287" s="9">
        <v>330</v>
      </c>
      <c r="L287" s="9">
        <v>2025</v>
      </c>
      <c r="M287" s="8" t="s">
        <v>1900</v>
      </c>
      <c r="N287" s="8" t="s">
        <v>42</v>
      </c>
      <c r="O287" s="8" t="s">
        <v>1315</v>
      </c>
      <c r="P287" s="6" t="s">
        <v>44</v>
      </c>
      <c r="Q287" s="8" t="s">
        <v>45</v>
      </c>
      <c r="R287" s="10" t="s">
        <v>1901</v>
      </c>
      <c r="S287" s="11"/>
      <c r="T287" s="6" t="s">
        <v>1080</v>
      </c>
      <c r="U287" s="24" t="str">
        <f>HYPERLINK("https://media.infra-m.ru/2180/2180888/cover/2180888.jpg", "Обложка")</f>
        <v>Обложка</v>
      </c>
      <c r="V287" s="24" t="str">
        <f>HYPERLINK("https://znanium.ru/catalog/product/2116722", "Ознакомиться")</f>
        <v>Ознакомиться</v>
      </c>
      <c r="W287" s="8" t="s">
        <v>361</v>
      </c>
      <c r="X287" s="6"/>
      <c r="Y287" s="6"/>
      <c r="Z287" s="6"/>
      <c r="AA287" s="6" t="s">
        <v>68</v>
      </c>
      <c r="AB287" s="8" t="s">
        <v>1902</v>
      </c>
    </row>
    <row r="288" spans="1:28" s="4" customFormat="1" ht="42" customHeight="1">
      <c r="A288" s="5">
        <v>0</v>
      </c>
      <c r="B288" s="6" t="s">
        <v>1903</v>
      </c>
      <c r="C288" s="7">
        <v>1440</v>
      </c>
      <c r="D288" s="8" t="s">
        <v>1904</v>
      </c>
      <c r="E288" s="8" t="s">
        <v>1905</v>
      </c>
      <c r="F288" s="8" t="s">
        <v>1906</v>
      </c>
      <c r="G288" s="6" t="s">
        <v>81</v>
      </c>
      <c r="H288" s="6" t="s">
        <v>39</v>
      </c>
      <c r="I288" s="8" t="s">
        <v>344</v>
      </c>
      <c r="J288" s="9">
        <v>1</v>
      </c>
      <c r="K288" s="9">
        <v>254</v>
      </c>
      <c r="L288" s="9">
        <v>2024</v>
      </c>
      <c r="M288" s="8" t="s">
        <v>1907</v>
      </c>
      <c r="N288" s="8" t="s">
        <v>42</v>
      </c>
      <c r="O288" s="8" t="s">
        <v>1315</v>
      </c>
      <c r="P288" s="6" t="s">
        <v>44</v>
      </c>
      <c r="Q288" s="8" t="s">
        <v>45</v>
      </c>
      <c r="R288" s="10" t="s">
        <v>1908</v>
      </c>
      <c r="S288" s="11"/>
      <c r="T288" s="6"/>
      <c r="U288" s="24" t="str">
        <f>HYPERLINK("https://media.infra-m.ru/2116/2116697/cover/2116697.jpg", "Обложка")</f>
        <v>Обложка</v>
      </c>
      <c r="V288" s="12"/>
      <c r="W288" s="8" t="s">
        <v>565</v>
      </c>
      <c r="X288" s="6"/>
      <c r="Y288" s="6"/>
      <c r="Z288" s="6"/>
      <c r="AA288" s="6" t="s">
        <v>369</v>
      </c>
      <c r="AB288" s="8"/>
    </row>
    <row r="289" spans="1:28" s="4" customFormat="1" ht="42" customHeight="1">
      <c r="A289" s="5">
        <v>0</v>
      </c>
      <c r="B289" s="6" t="s">
        <v>1909</v>
      </c>
      <c r="C289" s="7">
        <v>1956</v>
      </c>
      <c r="D289" s="8" t="s">
        <v>1910</v>
      </c>
      <c r="E289" s="8" t="s">
        <v>1911</v>
      </c>
      <c r="F289" s="8" t="s">
        <v>1906</v>
      </c>
      <c r="G289" s="6" t="s">
        <v>81</v>
      </c>
      <c r="H289" s="6" t="s">
        <v>39</v>
      </c>
      <c r="I289" s="8" t="s">
        <v>344</v>
      </c>
      <c r="J289" s="9">
        <v>1</v>
      </c>
      <c r="K289" s="9">
        <v>326</v>
      </c>
      <c r="L289" s="9">
        <v>2025</v>
      </c>
      <c r="M289" s="8" t="s">
        <v>1912</v>
      </c>
      <c r="N289" s="8" t="s">
        <v>42</v>
      </c>
      <c r="O289" s="8" t="s">
        <v>1315</v>
      </c>
      <c r="P289" s="6" t="s">
        <v>44</v>
      </c>
      <c r="Q289" s="8" t="s">
        <v>45</v>
      </c>
      <c r="R289" s="10" t="s">
        <v>1908</v>
      </c>
      <c r="S289" s="11"/>
      <c r="T289" s="6"/>
      <c r="U289" s="24" t="str">
        <f>HYPERLINK("https://media.infra-m.ru/2116/2116729/cover/2116729.jpg", "Обложка")</f>
        <v>Обложка</v>
      </c>
      <c r="V289" s="12"/>
      <c r="W289" s="8" t="s">
        <v>565</v>
      </c>
      <c r="X289" s="6"/>
      <c r="Y289" s="6"/>
      <c r="Z289" s="6"/>
      <c r="AA289" s="6" t="s">
        <v>369</v>
      </c>
      <c r="AB289" s="8"/>
    </row>
    <row r="290" spans="1:28" s="4" customFormat="1" ht="42" customHeight="1">
      <c r="A290" s="5">
        <v>0</v>
      </c>
      <c r="B290" s="6" t="s">
        <v>1913</v>
      </c>
      <c r="C290" s="7">
        <v>1248</v>
      </c>
      <c r="D290" s="8" t="s">
        <v>1914</v>
      </c>
      <c r="E290" s="8" t="s">
        <v>1915</v>
      </c>
      <c r="F290" s="8" t="s">
        <v>1916</v>
      </c>
      <c r="G290" s="6" t="s">
        <v>81</v>
      </c>
      <c r="H290" s="6" t="s">
        <v>39</v>
      </c>
      <c r="I290" s="8" t="s">
        <v>40</v>
      </c>
      <c r="J290" s="9">
        <v>1</v>
      </c>
      <c r="K290" s="9">
        <v>189</v>
      </c>
      <c r="L290" s="9">
        <v>2026</v>
      </c>
      <c r="M290" s="8" t="s">
        <v>1917</v>
      </c>
      <c r="N290" s="8" t="s">
        <v>54</v>
      </c>
      <c r="O290" s="8" t="s">
        <v>55</v>
      </c>
      <c r="P290" s="6" t="s">
        <v>44</v>
      </c>
      <c r="Q290" s="8" t="s">
        <v>45</v>
      </c>
      <c r="R290" s="10" t="s">
        <v>1487</v>
      </c>
      <c r="S290" s="11"/>
      <c r="T290" s="6"/>
      <c r="U290" s="24" t="str">
        <f>HYPERLINK("https://media.infra-m.ru/2225/2225442/cover/2225442.jpg", "Обложка")</f>
        <v>Обложка</v>
      </c>
      <c r="V290" s="24" t="str">
        <f>HYPERLINK("https://znanium.ru/catalog/product/2225442", "Ознакомиться")</f>
        <v>Ознакомиться</v>
      </c>
      <c r="W290" s="8"/>
      <c r="X290" s="6"/>
      <c r="Y290" s="6"/>
      <c r="Z290" s="6"/>
      <c r="AA290" s="6" t="s">
        <v>119</v>
      </c>
      <c r="AB290" s="8"/>
    </row>
    <row r="291" spans="1:28" s="4" customFormat="1" ht="51.95" customHeight="1">
      <c r="A291" s="5">
        <v>0</v>
      </c>
      <c r="B291" s="6" t="s">
        <v>1918</v>
      </c>
      <c r="C291" s="7">
        <v>1732.8</v>
      </c>
      <c r="D291" s="8" t="s">
        <v>1919</v>
      </c>
      <c r="E291" s="8" t="s">
        <v>1920</v>
      </c>
      <c r="F291" s="8" t="s">
        <v>1255</v>
      </c>
      <c r="G291" s="6" t="s">
        <v>38</v>
      </c>
      <c r="H291" s="6" t="s">
        <v>39</v>
      </c>
      <c r="I291" s="8" t="s">
        <v>40</v>
      </c>
      <c r="J291" s="9">
        <v>1</v>
      </c>
      <c r="K291" s="9">
        <v>306</v>
      </c>
      <c r="L291" s="9">
        <v>2024</v>
      </c>
      <c r="M291" s="8" t="s">
        <v>1921</v>
      </c>
      <c r="N291" s="8" t="s">
        <v>220</v>
      </c>
      <c r="O291" s="8" t="s">
        <v>252</v>
      </c>
      <c r="P291" s="6" t="s">
        <v>44</v>
      </c>
      <c r="Q291" s="8" t="s">
        <v>45</v>
      </c>
      <c r="R291" s="10" t="s">
        <v>1922</v>
      </c>
      <c r="S291" s="11"/>
      <c r="T291" s="6"/>
      <c r="U291" s="24" t="str">
        <f>HYPERLINK("https://media.infra-m.ru/2147/2147639/cover/2147639.jpg", "Обложка")</f>
        <v>Обложка</v>
      </c>
      <c r="V291" s="24" t="str">
        <f>HYPERLINK("https://znanium.ru/catalog/product/2147639", "Ознакомиться")</f>
        <v>Ознакомиться</v>
      </c>
      <c r="W291" s="8" t="s">
        <v>1258</v>
      </c>
      <c r="X291" s="6"/>
      <c r="Y291" s="6"/>
      <c r="Z291" s="6"/>
      <c r="AA291" s="6" t="s">
        <v>111</v>
      </c>
      <c r="AB291" s="8"/>
    </row>
    <row r="292" spans="1:28" s="4" customFormat="1" ht="51.95" customHeight="1">
      <c r="A292" s="5">
        <v>0</v>
      </c>
      <c r="B292" s="6" t="s">
        <v>1923</v>
      </c>
      <c r="C292" s="7">
        <v>2394</v>
      </c>
      <c r="D292" s="8" t="s">
        <v>1924</v>
      </c>
      <c r="E292" s="8" t="s">
        <v>1925</v>
      </c>
      <c r="F292" s="8" t="s">
        <v>1926</v>
      </c>
      <c r="G292" s="6" t="s">
        <v>132</v>
      </c>
      <c r="H292" s="6" t="s">
        <v>571</v>
      </c>
      <c r="I292" s="8"/>
      <c r="J292" s="9">
        <v>1</v>
      </c>
      <c r="K292" s="9">
        <v>252</v>
      </c>
      <c r="L292" s="9">
        <v>2024</v>
      </c>
      <c r="M292" s="8" t="s">
        <v>1927</v>
      </c>
      <c r="N292" s="8" t="s">
        <v>42</v>
      </c>
      <c r="O292" s="8" t="s">
        <v>246</v>
      </c>
      <c r="P292" s="6" t="s">
        <v>44</v>
      </c>
      <c r="Q292" s="8" t="s">
        <v>45</v>
      </c>
      <c r="R292" s="10" t="s">
        <v>1928</v>
      </c>
      <c r="S292" s="11"/>
      <c r="T292" s="6"/>
      <c r="U292" s="24" t="str">
        <f>HYPERLINK("https://media.infra-m.ru/2228/2228696/cover/2228696.jpg", "Обложка")</f>
        <v>Обложка</v>
      </c>
      <c r="V292" s="12"/>
      <c r="W292" s="8" t="s">
        <v>1929</v>
      </c>
      <c r="X292" s="6"/>
      <c r="Y292" s="6"/>
      <c r="Z292" s="6"/>
      <c r="AA292" s="6" t="s">
        <v>58</v>
      </c>
      <c r="AB292" s="8"/>
    </row>
    <row r="293" spans="1:28" s="4" customFormat="1" ht="42" customHeight="1">
      <c r="A293" s="5">
        <v>0</v>
      </c>
      <c r="B293" s="6" t="s">
        <v>1930</v>
      </c>
      <c r="C293" s="7">
        <v>2220</v>
      </c>
      <c r="D293" s="8" t="s">
        <v>1931</v>
      </c>
      <c r="E293" s="8" t="s">
        <v>1932</v>
      </c>
      <c r="F293" s="8" t="s">
        <v>1598</v>
      </c>
      <c r="G293" s="6" t="s">
        <v>38</v>
      </c>
      <c r="H293" s="6" t="s">
        <v>39</v>
      </c>
      <c r="I293" s="8" t="s">
        <v>40</v>
      </c>
      <c r="J293" s="9">
        <v>1</v>
      </c>
      <c r="K293" s="9">
        <v>368</v>
      </c>
      <c r="L293" s="9">
        <v>2025</v>
      </c>
      <c r="M293" s="8" t="s">
        <v>1933</v>
      </c>
      <c r="N293" s="8" t="s">
        <v>42</v>
      </c>
      <c r="O293" s="8" t="s">
        <v>65</v>
      </c>
      <c r="P293" s="6" t="s">
        <v>44</v>
      </c>
      <c r="Q293" s="8" t="s">
        <v>45</v>
      </c>
      <c r="R293" s="10" t="s">
        <v>1703</v>
      </c>
      <c r="S293" s="11"/>
      <c r="T293" s="6"/>
      <c r="U293" s="24" t="str">
        <f>HYPERLINK("https://media.infra-m.ru/2170/2170057/cover/2170057.jpg", "Обложка")</f>
        <v>Обложка</v>
      </c>
      <c r="V293" s="24" t="str">
        <f>HYPERLINK("https://znanium.ru/catalog/product/2170057", "Ознакомиться")</f>
        <v>Ознакомиться</v>
      </c>
      <c r="W293" s="8" t="s">
        <v>1601</v>
      </c>
      <c r="X293" s="6"/>
      <c r="Y293" s="6"/>
      <c r="Z293" s="6"/>
      <c r="AA293" s="6" t="s">
        <v>199</v>
      </c>
      <c r="AB293" s="8"/>
    </row>
    <row r="294" spans="1:28" s="4" customFormat="1" ht="51.95" customHeight="1">
      <c r="A294" s="5">
        <v>0</v>
      </c>
      <c r="B294" s="6" t="s">
        <v>1934</v>
      </c>
      <c r="C294" s="7">
        <v>1128</v>
      </c>
      <c r="D294" s="8" t="s">
        <v>1935</v>
      </c>
      <c r="E294" s="8" t="s">
        <v>1936</v>
      </c>
      <c r="F294" s="8" t="s">
        <v>1937</v>
      </c>
      <c r="G294" s="6" t="s">
        <v>132</v>
      </c>
      <c r="H294" s="6" t="s">
        <v>39</v>
      </c>
      <c r="I294" s="8" t="s">
        <v>40</v>
      </c>
      <c r="J294" s="9">
        <v>1</v>
      </c>
      <c r="K294" s="9">
        <v>174</v>
      </c>
      <c r="L294" s="9">
        <v>2024</v>
      </c>
      <c r="M294" s="8" t="s">
        <v>1938</v>
      </c>
      <c r="N294" s="8" t="s">
        <v>42</v>
      </c>
      <c r="O294" s="8" t="s">
        <v>1315</v>
      </c>
      <c r="P294" s="6" t="s">
        <v>44</v>
      </c>
      <c r="Q294" s="8" t="s">
        <v>45</v>
      </c>
      <c r="R294" s="10" t="s">
        <v>1939</v>
      </c>
      <c r="S294" s="11"/>
      <c r="T294" s="6"/>
      <c r="U294" s="24" t="str">
        <f>HYPERLINK("https://media.infra-m.ru/2135/2135818/cover/2135818.jpg", "Обложка")</f>
        <v>Обложка</v>
      </c>
      <c r="V294" s="24" t="str">
        <f>HYPERLINK("https://znanium.ru/catalog/product/2135818", "Ознакомиться")</f>
        <v>Ознакомиться</v>
      </c>
      <c r="W294" s="8" t="s">
        <v>1349</v>
      </c>
      <c r="X294" s="6"/>
      <c r="Y294" s="6"/>
      <c r="Z294" s="6"/>
      <c r="AA294" s="6" t="s">
        <v>58</v>
      </c>
      <c r="AB294" s="8"/>
    </row>
    <row r="295" spans="1:28" s="4" customFormat="1" ht="44.1" customHeight="1">
      <c r="A295" s="5">
        <v>0</v>
      </c>
      <c r="B295" s="6" t="s">
        <v>1940</v>
      </c>
      <c r="C295" s="7">
        <v>1176</v>
      </c>
      <c r="D295" s="8" t="s">
        <v>1941</v>
      </c>
      <c r="E295" s="8" t="s">
        <v>1942</v>
      </c>
      <c r="F295" s="8" t="s">
        <v>1943</v>
      </c>
      <c r="G295" s="6" t="s">
        <v>38</v>
      </c>
      <c r="H295" s="6" t="s">
        <v>99</v>
      </c>
      <c r="I295" s="8"/>
      <c r="J295" s="9">
        <v>1</v>
      </c>
      <c r="K295" s="9">
        <v>208</v>
      </c>
      <c r="L295" s="9">
        <v>2024</v>
      </c>
      <c r="M295" s="8" t="s">
        <v>1944</v>
      </c>
      <c r="N295" s="8" t="s">
        <v>42</v>
      </c>
      <c r="O295" s="8" t="s">
        <v>101</v>
      </c>
      <c r="P295" s="6" t="s">
        <v>44</v>
      </c>
      <c r="Q295" s="8" t="s">
        <v>1152</v>
      </c>
      <c r="R295" s="10" t="s">
        <v>564</v>
      </c>
      <c r="S295" s="11"/>
      <c r="T295" s="6"/>
      <c r="U295" s="24" t="str">
        <f>HYPERLINK("https://media.infra-m.ru/2133/2133751/cover/2133751.jpg", "Обложка")</f>
        <v>Обложка</v>
      </c>
      <c r="V295" s="24" t="str">
        <f>HYPERLINK("https://znanium.ru/catalog/product/2133751", "Ознакомиться")</f>
        <v>Ознакомиться</v>
      </c>
      <c r="W295" s="8" t="s">
        <v>1945</v>
      </c>
      <c r="X295" s="6"/>
      <c r="Y295" s="6"/>
      <c r="Z295" s="6"/>
      <c r="AA295" s="6" t="s">
        <v>127</v>
      </c>
      <c r="AB295" s="8"/>
    </row>
    <row r="296" spans="1:28" s="4" customFormat="1" ht="51.95" customHeight="1">
      <c r="A296" s="5">
        <v>0</v>
      </c>
      <c r="B296" s="6" t="s">
        <v>1946</v>
      </c>
      <c r="C296" s="7">
        <v>1516.8</v>
      </c>
      <c r="D296" s="8" t="s">
        <v>1947</v>
      </c>
      <c r="E296" s="8" t="s">
        <v>1948</v>
      </c>
      <c r="F296" s="8" t="s">
        <v>1949</v>
      </c>
      <c r="G296" s="6" t="s">
        <v>132</v>
      </c>
      <c r="H296" s="6" t="s">
        <v>39</v>
      </c>
      <c r="I296" s="8" t="s">
        <v>40</v>
      </c>
      <c r="J296" s="9">
        <v>1</v>
      </c>
      <c r="K296" s="9">
        <v>253</v>
      </c>
      <c r="L296" s="9">
        <v>2025</v>
      </c>
      <c r="M296" s="8" t="s">
        <v>1950</v>
      </c>
      <c r="N296" s="8" t="s">
        <v>42</v>
      </c>
      <c r="O296" s="8" t="s">
        <v>101</v>
      </c>
      <c r="P296" s="6" t="s">
        <v>44</v>
      </c>
      <c r="Q296" s="8" t="s">
        <v>45</v>
      </c>
      <c r="R296" s="10" t="s">
        <v>1951</v>
      </c>
      <c r="S296" s="11"/>
      <c r="T296" s="6"/>
      <c r="U296" s="24" t="str">
        <f>HYPERLINK("https://media.infra-m.ru/2192/2192166/cover/2192166.jpg", "Обложка")</f>
        <v>Обложка</v>
      </c>
      <c r="V296" s="24" t="str">
        <f>HYPERLINK("https://znanium.ru/catalog/product/1843574", "Ознакомиться")</f>
        <v>Ознакомиться</v>
      </c>
      <c r="W296" s="8" t="s">
        <v>1457</v>
      </c>
      <c r="X296" s="6"/>
      <c r="Y296" s="6"/>
      <c r="Z296" s="6"/>
      <c r="AA296" s="6" t="s">
        <v>892</v>
      </c>
      <c r="AB296" s="8"/>
    </row>
    <row r="297" spans="1:28" s="4" customFormat="1" ht="51.95" customHeight="1">
      <c r="A297" s="5">
        <v>0</v>
      </c>
      <c r="B297" s="6" t="s">
        <v>1952</v>
      </c>
      <c r="C297" s="13">
        <v>696</v>
      </c>
      <c r="D297" s="8" t="s">
        <v>1953</v>
      </c>
      <c r="E297" s="8" t="s">
        <v>1954</v>
      </c>
      <c r="F297" s="8" t="s">
        <v>1949</v>
      </c>
      <c r="G297" s="6" t="s">
        <v>38</v>
      </c>
      <c r="H297" s="6" t="s">
        <v>39</v>
      </c>
      <c r="I297" s="8" t="s">
        <v>40</v>
      </c>
      <c r="J297" s="9">
        <v>1</v>
      </c>
      <c r="K297" s="9">
        <v>184</v>
      </c>
      <c r="L297" s="9">
        <v>2018</v>
      </c>
      <c r="M297" s="8" t="s">
        <v>1955</v>
      </c>
      <c r="N297" s="8" t="s">
        <v>42</v>
      </c>
      <c r="O297" s="8" t="s">
        <v>101</v>
      </c>
      <c r="P297" s="6" t="s">
        <v>44</v>
      </c>
      <c r="Q297" s="8" t="s">
        <v>45</v>
      </c>
      <c r="R297" s="10" t="s">
        <v>1951</v>
      </c>
      <c r="S297" s="11"/>
      <c r="T297" s="6"/>
      <c r="U297" s="24" t="str">
        <f>HYPERLINK("https://media.infra-m.ru/0944/0944384/cover/944384.jpg", "Обложка")</f>
        <v>Обложка</v>
      </c>
      <c r="V297" s="24" t="str">
        <f>HYPERLINK("https://znanium.ru/catalog/product/1843574", "Ознакомиться")</f>
        <v>Ознакомиться</v>
      </c>
      <c r="W297" s="8" t="s">
        <v>1457</v>
      </c>
      <c r="X297" s="6"/>
      <c r="Y297" s="6"/>
      <c r="Z297" s="6"/>
      <c r="AA297" s="6" t="s">
        <v>48</v>
      </c>
      <c r="AB297" s="8"/>
    </row>
    <row r="298" spans="1:28" s="4" customFormat="1" ht="51.95" customHeight="1">
      <c r="A298" s="5">
        <v>0</v>
      </c>
      <c r="B298" s="6" t="s">
        <v>1956</v>
      </c>
      <c r="C298" s="13">
        <v>808.8</v>
      </c>
      <c r="D298" s="8" t="s">
        <v>1957</v>
      </c>
      <c r="E298" s="8" t="s">
        <v>1958</v>
      </c>
      <c r="F298" s="8" t="s">
        <v>1959</v>
      </c>
      <c r="G298" s="6" t="s">
        <v>38</v>
      </c>
      <c r="H298" s="6" t="s">
        <v>39</v>
      </c>
      <c r="I298" s="8" t="s">
        <v>40</v>
      </c>
      <c r="J298" s="9">
        <v>1</v>
      </c>
      <c r="K298" s="9">
        <v>128</v>
      </c>
      <c r="L298" s="9">
        <v>2026</v>
      </c>
      <c r="M298" s="8" t="s">
        <v>1960</v>
      </c>
      <c r="N298" s="8" t="s">
        <v>229</v>
      </c>
      <c r="O298" s="8" t="s">
        <v>230</v>
      </c>
      <c r="P298" s="6" t="s">
        <v>44</v>
      </c>
      <c r="Q298" s="8" t="s">
        <v>45</v>
      </c>
      <c r="R298" s="10" t="s">
        <v>1961</v>
      </c>
      <c r="S298" s="11"/>
      <c r="T298" s="6"/>
      <c r="U298" s="24" t="str">
        <f>HYPERLINK("https://media.infra-m.ru/2216/2216059/cover/2216059.jpg", "Обложка")</f>
        <v>Обложка</v>
      </c>
      <c r="V298" s="24" t="str">
        <f>HYPERLINK("https://znanium.ru/catalog/product/2161270", "Ознакомиться")</f>
        <v>Ознакомиться</v>
      </c>
      <c r="W298" s="8" t="s">
        <v>93</v>
      </c>
      <c r="X298" s="6"/>
      <c r="Y298" s="6"/>
      <c r="Z298" s="6"/>
      <c r="AA298" s="6" t="s">
        <v>48</v>
      </c>
      <c r="AB298" s="8"/>
    </row>
    <row r="299" spans="1:28" s="4" customFormat="1" ht="51.95" customHeight="1">
      <c r="A299" s="5">
        <v>0</v>
      </c>
      <c r="B299" s="6" t="s">
        <v>1962</v>
      </c>
      <c r="C299" s="7">
        <v>1144.8</v>
      </c>
      <c r="D299" s="8" t="s">
        <v>1963</v>
      </c>
      <c r="E299" s="8" t="s">
        <v>1964</v>
      </c>
      <c r="F299" s="8" t="s">
        <v>1965</v>
      </c>
      <c r="G299" s="6" t="s">
        <v>132</v>
      </c>
      <c r="H299" s="6" t="s">
        <v>39</v>
      </c>
      <c r="I299" s="8" t="s">
        <v>40</v>
      </c>
      <c r="J299" s="9">
        <v>1</v>
      </c>
      <c r="K299" s="9">
        <v>183</v>
      </c>
      <c r="L299" s="9">
        <v>2025</v>
      </c>
      <c r="M299" s="8" t="s">
        <v>1966</v>
      </c>
      <c r="N299" s="8" t="s">
        <v>229</v>
      </c>
      <c r="O299" s="8" t="s">
        <v>230</v>
      </c>
      <c r="P299" s="6" t="s">
        <v>44</v>
      </c>
      <c r="Q299" s="8" t="s">
        <v>45</v>
      </c>
      <c r="R299" s="10" t="s">
        <v>1967</v>
      </c>
      <c r="S299" s="11"/>
      <c r="T299" s="6"/>
      <c r="U299" s="24" t="str">
        <f>HYPERLINK("https://media.infra-m.ru/2198/2198380/cover/2198380.jpg", "Обложка")</f>
        <v>Обложка</v>
      </c>
      <c r="V299" s="24" t="str">
        <f>HYPERLINK("https://znanium.ru/catalog/product/2166949", "Ознакомиться")</f>
        <v>Ознакомиться</v>
      </c>
      <c r="W299" s="8" t="s">
        <v>1968</v>
      </c>
      <c r="X299" s="6"/>
      <c r="Y299" s="6"/>
      <c r="Z299" s="6"/>
      <c r="AA299" s="6" t="s">
        <v>58</v>
      </c>
      <c r="AB299" s="8"/>
    </row>
    <row r="300" spans="1:28" s="4" customFormat="1" ht="51.95" customHeight="1">
      <c r="A300" s="5">
        <v>0</v>
      </c>
      <c r="B300" s="6" t="s">
        <v>1969</v>
      </c>
      <c r="C300" s="13">
        <v>828</v>
      </c>
      <c r="D300" s="8" t="s">
        <v>1970</v>
      </c>
      <c r="E300" s="8" t="s">
        <v>1971</v>
      </c>
      <c r="F300" s="8" t="s">
        <v>488</v>
      </c>
      <c r="G300" s="6" t="s">
        <v>38</v>
      </c>
      <c r="H300" s="6" t="s">
        <v>39</v>
      </c>
      <c r="I300" s="8" t="s">
        <v>40</v>
      </c>
      <c r="J300" s="9">
        <v>1</v>
      </c>
      <c r="K300" s="9">
        <v>148</v>
      </c>
      <c r="L300" s="9">
        <v>2024</v>
      </c>
      <c r="M300" s="8" t="s">
        <v>1972</v>
      </c>
      <c r="N300" s="8" t="s">
        <v>229</v>
      </c>
      <c r="O300" s="8" t="s">
        <v>230</v>
      </c>
      <c r="P300" s="6" t="s">
        <v>44</v>
      </c>
      <c r="Q300" s="8" t="s">
        <v>45</v>
      </c>
      <c r="R300" s="10" t="s">
        <v>1973</v>
      </c>
      <c r="S300" s="11"/>
      <c r="T300" s="6"/>
      <c r="U300" s="24" t="str">
        <f>HYPERLINK("https://media.infra-m.ru/2118/2118719/cover/2118719.jpg", "Обложка")</f>
        <v>Обложка</v>
      </c>
      <c r="V300" s="24" t="str">
        <f>HYPERLINK("https://znanium.ru/catalog/product/2169531", "Ознакомиться")</f>
        <v>Ознакомиться</v>
      </c>
      <c r="W300" s="8" t="s">
        <v>491</v>
      </c>
      <c r="X300" s="6"/>
      <c r="Y300" s="6"/>
      <c r="Z300" s="6"/>
      <c r="AA300" s="6" t="s">
        <v>536</v>
      </c>
      <c r="AB300" s="8"/>
    </row>
    <row r="301" spans="1:28" s="4" customFormat="1" ht="51.95" customHeight="1">
      <c r="A301" s="5">
        <v>0</v>
      </c>
      <c r="B301" s="6" t="s">
        <v>1974</v>
      </c>
      <c r="C301" s="7">
        <v>1140</v>
      </c>
      <c r="D301" s="8" t="s">
        <v>1975</v>
      </c>
      <c r="E301" s="8" t="s">
        <v>1976</v>
      </c>
      <c r="F301" s="8" t="s">
        <v>488</v>
      </c>
      <c r="G301" s="6" t="s">
        <v>38</v>
      </c>
      <c r="H301" s="6" t="s">
        <v>39</v>
      </c>
      <c r="I301" s="8" t="s">
        <v>40</v>
      </c>
      <c r="J301" s="9">
        <v>1</v>
      </c>
      <c r="K301" s="9">
        <v>158</v>
      </c>
      <c r="L301" s="9">
        <v>2025</v>
      </c>
      <c r="M301" s="8" t="s">
        <v>1977</v>
      </c>
      <c r="N301" s="8" t="s">
        <v>229</v>
      </c>
      <c r="O301" s="8" t="s">
        <v>230</v>
      </c>
      <c r="P301" s="6" t="s">
        <v>44</v>
      </c>
      <c r="Q301" s="8" t="s">
        <v>45</v>
      </c>
      <c r="R301" s="10" t="s">
        <v>1973</v>
      </c>
      <c r="S301" s="11"/>
      <c r="T301" s="6"/>
      <c r="U301" s="24" t="str">
        <f>HYPERLINK("https://media.infra-m.ru/2169/2169531/cover/2169531.jpg", "Обложка")</f>
        <v>Обложка</v>
      </c>
      <c r="V301" s="24" t="str">
        <f>HYPERLINK("https://znanium.ru/catalog/product/2169531", "Ознакомиться")</f>
        <v>Ознакомиться</v>
      </c>
      <c r="W301" s="8" t="s">
        <v>491</v>
      </c>
      <c r="X301" s="6" t="s">
        <v>492</v>
      </c>
      <c r="Y301" s="6"/>
      <c r="Z301" s="6"/>
      <c r="AA301" s="6" t="s">
        <v>419</v>
      </c>
      <c r="AB301" s="8"/>
    </row>
    <row r="302" spans="1:28" s="4" customFormat="1" ht="51.95" customHeight="1">
      <c r="A302" s="5">
        <v>0</v>
      </c>
      <c r="B302" s="6" t="s">
        <v>1978</v>
      </c>
      <c r="C302" s="7">
        <v>1068</v>
      </c>
      <c r="D302" s="8" t="s">
        <v>1979</v>
      </c>
      <c r="E302" s="8" t="s">
        <v>1980</v>
      </c>
      <c r="F302" s="8" t="s">
        <v>1981</v>
      </c>
      <c r="G302" s="6" t="s">
        <v>38</v>
      </c>
      <c r="H302" s="6" t="s">
        <v>39</v>
      </c>
      <c r="I302" s="8" t="s">
        <v>40</v>
      </c>
      <c r="J302" s="9">
        <v>1</v>
      </c>
      <c r="K302" s="9">
        <v>164</v>
      </c>
      <c r="L302" s="9">
        <v>2025</v>
      </c>
      <c r="M302" s="8" t="s">
        <v>1982</v>
      </c>
      <c r="N302" s="8" t="s">
        <v>42</v>
      </c>
      <c r="O302" s="8" t="s">
        <v>101</v>
      </c>
      <c r="P302" s="6" t="s">
        <v>44</v>
      </c>
      <c r="Q302" s="8" t="s">
        <v>45</v>
      </c>
      <c r="R302" s="10" t="s">
        <v>1983</v>
      </c>
      <c r="S302" s="11"/>
      <c r="T302" s="6"/>
      <c r="U302" s="24" t="str">
        <f>HYPERLINK("https://media.infra-m.ru/2169/2169737/cover/2169737.jpg", "Обложка")</f>
        <v>Обложка</v>
      </c>
      <c r="V302" s="24" t="str">
        <f>HYPERLINK("https://znanium.ru/catalog/product/2169737", "Ознакомиться")</f>
        <v>Ознакомиться</v>
      </c>
      <c r="W302" s="8" t="s">
        <v>1984</v>
      </c>
      <c r="X302" s="6" t="s">
        <v>306</v>
      </c>
      <c r="Y302" s="6"/>
      <c r="Z302" s="6"/>
      <c r="AA302" s="6" t="s">
        <v>58</v>
      </c>
      <c r="AB302" s="8"/>
    </row>
    <row r="303" spans="1:28" s="4" customFormat="1" ht="44.1" customHeight="1">
      <c r="A303" s="5">
        <v>0</v>
      </c>
      <c r="B303" s="6" t="s">
        <v>1985</v>
      </c>
      <c r="C303" s="13">
        <v>869.9</v>
      </c>
      <c r="D303" s="8" t="s">
        <v>1986</v>
      </c>
      <c r="E303" s="8" t="s">
        <v>1987</v>
      </c>
      <c r="F303" s="8" t="s">
        <v>1988</v>
      </c>
      <c r="G303" s="6" t="s">
        <v>38</v>
      </c>
      <c r="H303" s="6" t="s">
        <v>39</v>
      </c>
      <c r="I303" s="8" t="s">
        <v>40</v>
      </c>
      <c r="J303" s="9">
        <v>1</v>
      </c>
      <c r="K303" s="9">
        <v>160</v>
      </c>
      <c r="L303" s="9">
        <v>2023</v>
      </c>
      <c r="M303" s="8" t="s">
        <v>1989</v>
      </c>
      <c r="N303" s="8" t="s">
        <v>284</v>
      </c>
      <c r="O303" s="8" t="s">
        <v>717</v>
      </c>
      <c r="P303" s="6" t="s">
        <v>44</v>
      </c>
      <c r="Q303" s="8" t="s">
        <v>45</v>
      </c>
      <c r="R303" s="10" t="s">
        <v>1990</v>
      </c>
      <c r="S303" s="11"/>
      <c r="T303" s="6"/>
      <c r="U303" s="24" t="str">
        <f>HYPERLINK("https://media.infra-m.ru/2045/2045838/cover/2045838.jpg", "Обложка")</f>
        <v>Обложка</v>
      </c>
      <c r="V303" s="24" t="str">
        <f>HYPERLINK("https://znanium.ru/catalog/product/1204632", "Ознакомиться")</f>
        <v>Ознакомиться</v>
      </c>
      <c r="W303" s="8" t="s">
        <v>1991</v>
      </c>
      <c r="X303" s="6"/>
      <c r="Y303" s="6"/>
      <c r="Z303" s="6"/>
      <c r="AA303" s="6" t="s">
        <v>168</v>
      </c>
      <c r="AB303" s="8" t="s">
        <v>1992</v>
      </c>
    </row>
    <row r="304" spans="1:28" s="4" customFormat="1" ht="42" customHeight="1">
      <c r="A304" s="5">
        <v>0</v>
      </c>
      <c r="B304" s="6" t="s">
        <v>1993</v>
      </c>
      <c r="C304" s="7">
        <v>1956</v>
      </c>
      <c r="D304" s="8" t="s">
        <v>1994</v>
      </c>
      <c r="E304" s="8" t="s">
        <v>1995</v>
      </c>
      <c r="F304" s="8" t="s">
        <v>1996</v>
      </c>
      <c r="G304" s="6" t="s">
        <v>81</v>
      </c>
      <c r="H304" s="6" t="s">
        <v>39</v>
      </c>
      <c r="I304" s="8" t="s">
        <v>40</v>
      </c>
      <c r="J304" s="9">
        <v>1</v>
      </c>
      <c r="K304" s="9">
        <v>296</v>
      </c>
      <c r="L304" s="9">
        <v>2026</v>
      </c>
      <c r="M304" s="8" t="s">
        <v>1997</v>
      </c>
      <c r="N304" s="8" t="s">
        <v>42</v>
      </c>
      <c r="O304" s="8" t="s">
        <v>1002</v>
      </c>
      <c r="P304" s="6" t="s">
        <v>44</v>
      </c>
      <c r="Q304" s="8" t="s">
        <v>45</v>
      </c>
      <c r="R304" s="10" t="s">
        <v>1998</v>
      </c>
      <c r="S304" s="11"/>
      <c r="T304" s="6"/>
      <c r="U304" s="24" t="str">
        <f>HYPERLINK("https://media.infra-m.ru/2166/2166338/cover/2166338.jpg", "Обложка")</f>
        <v>Обложка</v>
      </c>
      <c r="V304" s="24" t="str">
        <f>HYPERLINK("https://znanium.ru/catalog/product/1914075", "Ознакомиться")</f>
        <v>Ознакомиться</v>
      </c>
      <c r="W304" s="8" t="s">
        <v>176</v>
      </c>
      <c r="X304" s="6"/>
      <c r="Y304" s="6"/>
      <c r="Z304" s="6"/>
      <c r="AA304" s="6" t="s">
        <v>369</v>
      </c>
      <c r="AB304" s="8"/>
    </row>
    <row r="305" spans="1:28" s="4" customFormat="1" ht="51.95" customHeight="1">
      <c r="A305" s="5">
        <v>0</v>
      </c>
      <c r="B305" s="6" t="s">
        <v>1999</v>
      </c>
      <c r="C305" s="7">
        <v>1588.8</v>
      </c>
      <c r="D305" s="8" t="s">
        <v>2000</v>
      </c>
      <c r="E305" s="8" t="s">
        <v>2001</v>
      </c>
      <c r="F305" s="8" t="s">
        <v>2002</v>
      </c>
      <c r="G305" s="6" t="s">
        <v>132</v>
      </c>
      <c r="H305" s="6" t="s">
        <v>99</v>
      </c>
      <c r="I305" s="8"/>
      <c r="J305" s="9">
        <v>1</v>
      </c>
      <c r="K305" s="9">
        <v>240</v>
      </c>
      <c r="L305" s="9">
        <v>2026</v>
      </c>
      <c r="M305" s="8" t="s">
        <v>2003</v>
      </c>
      <c r="N305" s="8" t="s">
        <v>42</v>
      </c>
      <c r="O305" s="8" t="s">
        <v>101</v>
      </c>
      <c r="P305" s="6" t="s">
        <v>44</v>
      </c>
      <c r="Q305" s="8" t="s">
        <v>1058</v>
      </c>
      <c r="R305" s="10" t="s">
        <v>2004</v>
      </c>
      <c r="S305" s="11"/>
      <c r="T305" s="6"/>
      <c r="U305" s="24" t="str">
        <f>HYPERLINK("https://media.infra-m.ru/2221/2221171/cover/2221171.jpg", "Обложка")</f>
        <v>Обложка</v>
      </c>
      <c r="V305" s="24" t="str">
        <f>HYPERLINK("https://znanium.ru/catalog/product/2117063", "Ознакомиться")</f>
        <v>Ознакомиться</v>
      </c>
      <c r="W305" s="8" t="s">
        <v>346</v>
      </c>
      <c r="X305" s="6"/>
      <c r="Y305" s="6"/>
      <c r="Z305" s="6"/>
      <c r="AA305" s="6" t="s">
        <v>58</v>
      </c>
      <c r="AB305" s="8"/>
    </row>
    <row r="306" spans="1:28" s="4" customFormat="1" ht="42" customHeight="1">
      <c r="A306" s="5">
        <v>0</v>
      </c>
      <c r="B306" s="6" t="s">
        <v>2005</v>
      </c>
      <c r="C306" s="7">
        <v>5340</v>
      </c>
      <c r="D306" s="8" t="s">
        <v>2006</v>
      </c>
      <c r="E306" s="8" t="s">
        <v>2007</v>
      </c>
      <c r="F306" s="8" t="s">
        <v>2008</v>
      </c>
      <c r="G306" s="6" t="s">
        <v>132</v>
      </c>
      <c r="H306" s="6" t="s">
        <v>39</v>
      </c>
      <c r="I306" s="8"/>
      <c r="J306" s="9">
        <v>1</v>
      </c>
      <c r="K306" s="9">
        <v>761</v>
      </c>
      <c r="L306" s="9">
        <v>2023</v>
      </c>
      <c r="M306" s="8" t="s">
        <v>2009</v>
      </c>
      <c r="N306" s="8" t="s">
        <v>229</v>
      </c>
      <c r="O306" s="8" t="s">
        <v>230</v>
      </c>
      <c r="P306" s="6" t="s">
        <v>2010</v>
      </c>
      <c r="Q306" s="8" t="s">
        <v>45</v>
      </c>
      <c r="R306" s="10" t="s">
        <v>2011</v>
      </c>
      <c r="S306" s="11"/>
      <c r="T306" s="6"/>
      <c r="U306" s="24" t="str">
        <f>HYPERLINK("https://media.infra-m.ru/2113/2113425/cover/2113425.jpg", "Обложка")</f>
        <v>Обложка</v>
      </c>
      <c r="V306" s="24" t="str">
        <f>HYPERLINK("https://znanium.ru/catalog/product/2113425", "Ознакомиться")</f>
        <v>Ознакомиться</v>
      </c>
      <c r="W306" s="8" t="s">
        <v>1735</v>
      </c>
      <c r="X306" s="6"/>
      <c r="Y306" s="6"/>
      <c r="Z306" s="6"/>
      <c r="AA306" s="6" t="s">
        <v>119</v>
      </c>
      <c r="AB306" s="8"/>
    </row>
    <row r="307" spans="1:28" s="4" customFormat="1" ht="51.95" customHeight="1">
      <c r="A307" s="5">
        <v>0</v>
      </c>
      <c r="B307" s="6" t="s">
        <v>2012</v>
      </c>
      <c r="C307" s="7">
        <v>1576.8</v>
      </c>
      <c r="D307" s="8" t="s">
        <v>2013</v>
      </c>
      <c r="E307" s="8" t="s">
        <v>2014</v>
      </c>
      <c r="F307" s="8" t="s">
        <v>2015</v>
      </c>
      <c r="G307" s="6" t="s">
        <v>132</v>
      </c>
      <c r="H307" s="6" t="s">
        <v>1019</v>
      </c>
      <c r="I307" s="8" t="s">
        <v>1525</v>
      </c>
      <c r="J307" s="9">
        <v>1</v>
      </c>
      <c r="K307" s="9">
        <v>252</v>
      </c>
      <c r="L307" s="9">
        <v>2025</v>
      </c>
      <c r="M307" s="8" t="s">
        <v>2016</v>
      </c>
      <c r="N307" s="8" t="s">
        <v>220</v>
      </c>
      <c r="O307" s="8" t="s">
        <v>252</v>
      </c>
      <c r="P307" s="6" t="s">
        <v>286</v>
      </c>
      <c r="Q307" s="8" t="s">
        <v>416</v>
      </c>
      <c r="R307" s="10" t="s">
        <v>2017</v>
      </c>
      <c r="S307" s="11" t="s">
        <v>2018</v>
      </c>
      <c r="T307" s="6" t="s">
        <v>1080</v>
      </c>
      <c r="U307" s="24" t="str">
        <f>HYPERLINK("https://media.infra-m.ru/2209/2209005/cover/2209005.jpg", "Обложка")</f>
        <v>Обложка</v>
      </c>
      <c r="V307" s="24" t="str">
        <f>HYPERLINK("https://znanium.ru/catalog/product/2204873", "Ознакомиться")</f>
        <v>Ознакомиться</v>
      </c>
      <c r="W307" s="8" t="s">
        <v>2019</v>
      </c>
      <c r="X307" s="6"/>
      <c r="Y307" s="6"/>
      <c r="Z307" s="6"/>
      <c r="AA307" s="6" t="s">
        <v>168</v>
      </c>
      <c r="AB307" s="8"/>
    </row>
    <row r="308" spans="1:28" s="4" customFormat="1" ht="51.95" customHeight="1">
      <c r="A308" s="5">
        <v>0</v>
      </c>
      <c r="B308" s="6" t="s">
        <v>2020</v>
      </c>
      <c r="C308" s="7">
        <v>1572</v>
      </c>
      <c r="D308" s="8" t="s">
        <v>2021</v>
      </c>
      <c r="E308" s="8" t="s">
        <v>2014</v>
      </c>
      <c r="F308" s="8" t="s">
        <v>2015</v>
      </c>
      <c r="G308" s="6" t="s">
        <v>81</v>
      </c>
      <c r="H308" s="6" t="s">
        <v>39</v>
      </c>
      <c r="I308" s="8" t="s">
        <v>2022</v>
      </c>
      <c r="J308" s="9">
        <v>1</v>
      </c>
      <c r="K308" s="9">
        <v>252</v>
      </c>
      <c r="L308" s="9">
        <v>2026</v>
      </c>
      <c r="M308" s="8" t="s">
        <v>2023</v>
      </c>
      <c r="N308" s="8" t="s">
        <v>220</v>
      </c>
      <c r="O308" s="8" t="s">
        <v>252</v>
      </c>
      <c r="P308" s="6" t="s">
        <v>286</v>
      </c>
      <c r="Q308" s="8" t="s">
        <v>2024</v>
      </c>
      <c r="R308" s="10" t="s">
        <v>2025</v>
      </c>
      <c r="S308" s="11" t="s">
        <v>2026</v>
      </c>
      <c r="T308" s="6" t="s">
        <v>1080</v>
      </c>
      <c r="U308" s="24" t="str">
        <f>HYPERLINK("https://media.infra-m.ru/2166/2166533/cover/2166533.jpg", "Обложка")</f>
        <v>Обложка</v>
      </c>
      <c r="V308" s="24" t="str">
        <f>HYPERLINK("https://znanium.ru/catalog/product/2166533", "Ознакомиться")</f>
        <v>Ознакомиться</v>
      </c>
      <c r="W308" s="8" t="s">
        <v>2019</v>
      </c>
      <c r="X308" s="6"/>
      <c r="Y308" s="6"/>
      <c r="Z308" s="6" t="s">
        <v>2027</v>
      </c>
      <c r="AA308" s="6" t="s">
        <v>199</v>
      </c>
      <c r="AB308" s="8"/>
    </row>
    <row r="309" spans="1:28" s="4" customFormat="1" ht="51.95" customHeight="1">
      <c r="A309" s="5">
        <v>0</v>
      </c>
      <c r="B309" s="6" t="s">
        <v>2028</v>
      </c>
      <c r="C309" s="7">
        <v>1348.8</v>
      </c>
      <c r="D309" s="8" t="s">
        <v>2029</v>
      </c>
      <c r="E309" s="8" t="s">
        <v>2030</v>
      </c>
      <c r="F309" s="8" t="s">
        <v>2031</v>
      </c>
      <c r="G309" s="6" t="s">
        <v>81</v>
      </c>
      <c r="H309" s="6" t="s">
        <v>326</v>
      </c>
      <c r="I309" s="8" t="s">
        <v>2022</v>
      </c>
      <c r="J309" s="9">
        <v>1</v>
      </c>
      <c r="K309" s="9">
        <v>238</v>
      </c>
      <c r="L309" s="9">
        <v>2024</v>
      </c>
      <c r="M309" s="8" t="s">
        <v>2032</v>
      </c>
      <c r="N309" s="8" t="s">
        <v>284</v>
      </c>
      <c r="O309" s="8" t="s">
        <v>285</v>
      </c>
      <c r="P309" s="6" t="s">
        <v>239</v>
      </c>
      <c r="Q309" s="8" t="s">
        <v>2024</v>
      </c>
      <c r="R309" s="10" t="s">
        <v>2033</v>
      </c>
      <c r="S309" s="11"/>
      <c r="T309" s="6"/>
      <c r="U309" s="24" t="str">
        <f>HYPERLINK("https://media.infra-m.ru/2145/2145762/cover/2145762.jpg", "Обложка")</f>
        <v>Обложка</v>
      </c>
      <c r="V309" s="24" t="str">
        <f>HYPERLINK("https://znanium.ru/catalog/product/1940919", "Ознакомиться")</f>
        <v>Ознакомиться</v>
      </c>
      <c r="W309" s="8" t="s">
        <v>191</v>
      </c>
      <c r="X309" s="6"/>
      <c r="Y309" s="6"/>
      <c r="Z309" s="6"/>
      <c r="AA309" s="6" t="s">
        <v>2034</v>
      </c>
      <c r="AB309" s="8"/>
    </row>
    <row r="310" spans="1:28" s="4" customFormat="1" ht="42" customHeight="1">
      <c r="A310" s="5">
        <v>0</v>
      </c>
      <c r="B310" s="6" t="s">
        <v>2035</v>
      </c>
      <c r="C310" s="7">
        <v>1104</v>
      </c>
      <c r="D310" s="8" t="s">
        <v>2036</v>
      </c>
      <c r="E310" s="8" t="s">
        <v>2037</v>
      </c>
      <c r="F310" s="8" t="s">
        <v>2038</v>
      </c>
      <c r="G310" s="6" t="s">
        <v>81</v>
      </c>
      <c r="H310" s="6" t="s">
        <v>39</v>
      </c>
      <c r="I310" s="8" t="s">
        <v>344</v>
      </c>
      <c r="J310" s="9">
        <v>1</v>
      </c>
      <c r="K310" s="9">
        <v>235</v>
      </c>
      <c r="L310" s="9">
        <v>2022</v>
      </c>
      <c r="M310" s="8" t="s">
        <v>2039</v>
      </c>
      <c r="N310" s="8" t="s">
        <v>284</v>
      </c>
      <c r="O310" s="8" t="s">
        <v>285</v>
      </c>
      <c r="P310" s="6" t="s">
        <v>44</v>
      </c>
      <c r="Q310" s="8" t="s">
        <v>45</v>
      </c>
      <c r="R310" s="10" t="s">
        <v>2040</v>
      </c>
      <c r="S310" s="11"/>
      <c r="T310" s="6"/>
      <c r="U310" s="24" t="str">
        <f>HYPERLINK("https://media.infra-m.ru/1818/1818212/cover/1818212.jpg", "Обложка")</f>
        <v>Обложка</v>
      </c>
      <c r="V310" s="12"/>
      <c r="W310" s="8" t="s">
        <v>346</v>
      </c>
      <c r="X310" s="6"/>
      <c r="Y310" s="6"/>
      <c r="Z310" s="6"/>
      <c r="AA310" s="6" t="s">
        <v>68</v>
      </c>
      <c r="AB310" s="8"/>
    </row>
    <row r="311" spans="1:28" s="4" customFormat="1" ht="51.95" customHeight="1">
      <c r="A311" s="5">
        <v>0</v>
      </c>
      <c r="B311" s="6" t="s">
        <v>2041</v>
      </c>
      <c r="C311" s="13">
        <v>857.9</v>
      </c>
      <c r="D311" s="8" t="s">
        <v>2042</v>
      </c>
      <c r="E311" s="8" t="s">
        <v>2043</v>
      </c>
      <c r="F311" s="8" t="s">
        <v>2044</v>
      </c>
      <c r="G311" s="6" t="s">
        <v>38</v>
      </c>
      <c r="H311" s="6" t="s">
        <v>39</v>
      </c>
      <c r="I311" s="8" t="s">
        <v>40</v>
      </c>
      <c r="J311" s="9">
        <v>1</v>
      </c>
      <c r="K311" s="9">
        <v>184</v>
      </c>
      <c r="L311" s="9">
        <v>2022</v>
      </c>
      <c r="M311" s="8" t="s">
        <v>2045</v>
      </c>
      <c r="N311" s="8" t="s">
        <v>42</v>
      </c>
      <c r="O311" s="8" t="s">
        <v>189</v>
      </c>
      <c r="P311" s="6" t="s">
        <v>44</v>
      </c>
      <c r="Q311" s="8" t="s">
        <v>45</v>
      </c>
      <c r="R311" s="10" t="s">
        <v>2046</v>
      </c>
      <c r="S311" s="11"/>
      <c r="T311" s="6" t="s">
        <v>1080</v>
      </c>
      <c r="U311" s="24" t="str">
        <f>HYPERLINK("https://media.infra-m.ru/1851/1851530/cover/1851530.jpg", "Обложка")</f>
        <v>Обложка</v>
      </c>
      <c r="V311" s="24" t="str">
        <f>HYPERLINK("https://znanium.ru/catalog/product/1851530", "Ознакомиться")</f>
        <v>Ознакомиться</v>
      </c>
      <c r="W311" s="8" t="s">
        <v>2047</v>
      </c>
      <c r="X311" s="6"/>
      <c r="Y311" s="6"/>
      <c r="Z311" s="6"/>
      <c r="AA311" s="6" t="s">
        <v>290</v>
      </c>
      <c r="AB311" s="8"/>
    </row>
    <row r="312" spans="1:28" s="4" customFormat="1" ht="51.95" customHeight="1">
      <c r="A312" s="5">
        <v>0</v>
      </c>
      <c r="B312" s="6" t="s">
        <v>2048</v>
      </c>
      <c r="C312" s="7">
        <v>2392.8000000000002</v>
      </c>
      <c r="D312" s="8" t="s">
        <v>2049</v>
      </c>
      <c r="E312" s="8" t="s">
        <v>2050</v>
      </c>
      <c r="F312" s="8" t="s">
        <v>2051</v>
      </c>
      <c r="G312" s="6" t="s">
        <v>81</v>
      </c>
      <c r="H312" s="6" t="s">
        <v>2052</v>
      </c>
      <c r="I312" s="8"/>
      <c r="J312" s="9">
        <v>1</v>
      </c>
      <c r="K312" s="9">
        <v>384</v>
      </c>
      <c r="L312" s="9">
        <v>2020</v>
      </c>
      <c r="M312" s="8" t="s">
        <v>2053</v>
      </c>
      <c r="N312" s="8" t="s">
        <v>42</v>
      </c>
      <c r="O312" s="8" t="s">
        <v>101</v>
      </c>
      <c r="P312" s="6" t="s">
        <v>44</v>
      </c>
      <c r="Q312" s="8" t="s">
        <v>45</v>
      </c>
      <c r="R312" s="10" t="s">
        <v>2054</v>
      </c>
      <c r="S312" s="11"/>
      <c r="T312" s="6"/>
      <c r="U312" s="24" t="str">
        <f>HYPERLINK("https://media.infra-m.ru/2202/2202443/cover/2202443.jpg", "Обложка")</f>
        <v>Обложка</v>
      </c>
      <c r="V312" s="24" t="str">
        <f>HYPERLINK("https://znanium.ru/catalog/product/1080391", "Ознакомиться")</f>
        <v>Ознакомиться</v>
      </c>
      <c r="W312" s="8" t="s">
        <v>1520</v>
      </c>
      <c r="X312" s="6"/>
      <c r="Y312" s="6"/>
      <c r="Z312" s="6"/>
      <c r="AA312" s="6" t="s">
        <v>2055</v>
      </c>
      <c r="AB312" s="8"/>
    </row>
    <row r="313" spans="1:28" s="4" customFormat="1" ht="51.95" customHeight="1">
      <c r="A313" s="5">
        <v>0</v>
      </c>
      <c r="B313" s="6" t="s">
        <v>2056</v>
      </c>
      <c r="C313" s="7">
        <v>1620</v>
      </c>
      <c r="D313" s="8" t="s">
        <v>2057</v>
      </c>
      <c r="E313" s="8" t="s">
        <v>2058</v>
      </c>
      <c r="F313" s="8" t="s">
        <v>1572</v>
      </c>
      <c r="G313" s="6" t="s">
        <v>81</v>
      </c>
      <c r="H313" s="6" t="s">
        <v>39</v>
      </c>
      <c r="I313" s="8" t="s">
        <v>40</v>
      </c>
      <c r="J313" s="9">
        <v>1</v>
      </c>
      <c r="K313" s="9">
        <v>234</v>
      </c>
      <c r="L313" s="9">
        <v>2026</v>
      </c>
      <c r="M313" s="8" t="s">
        <v>2059</v>
      </c>
      <c r="N313" s="8" t="s">
        <v>229</v>
      </c>
      <c r="O313" s="8" t="s">
        <v>230</v>
      </c>
      <c r="P313" s="6" t="s">
        <v>44</v>
      </c>
      <c r="Q313" s="8" t="s">
        <v>45</v>
      </c>
      <c r="R313" s="10" t="s">
        <v>2060</v>
      </c>
      <c r="S313" s="11"/>
      <c r="T313" s="6"/>
      <c r="U313" s="24" t="str">
        <f>HYPERLINK("https://media.infra-m.ru/2230/2230761/cover/2230761.jpg", "Обложка")</f>
        <v>Обложка</v>
      </c>
      <c r="V313" s="24" t="str">
        <f>HYPERLINK("https://znanium.ru/catalog/product/2230761", "Ознакомиться")</f>
        <v>Ознакомиться</v>
      </c>
      <c r="W313" s="8" t="s">
        <v>1575</v>
      </c>
      <c r="X313" s="6"/>
      <c r="Y313" s="6"/>
      <c r="Z313" s="6"/>
      <c r="AA313" s="6" t="s">
        <v>159</v>
      </c>
      <c r="AB313" s="8"/>
    </row>
    <row r="314" spans="1:28" s="4" customFormat="1" ht="51.95" customHeight="1">
      <c r="A314" s="5">
        <v>0</v>
      </c>
      <c r="B314" s="6" t="s">
        <v>2061</v>
      </c>
      <c r="C314" s="7">
        <v>2052</v>
      </c>
      <c r="D314" s="8" t="s">
        <v>2062</v>
      </c>
      <c r="E314" s="8" t="s">
        <v>2063</v>
      </c>
      <c r="F314" s="8" t="s">
        <v>2064</v>
      </c>
      <c r="G314" s="6" t="s">
        <v>38</v>
      </c>
      <c r="H314" s="6" t="s">
        <v>39</v>
      </c>
      <c r="I314" s="8" t="s">
        <v>40</v>
      </c>
      <c r="J314" s="9">
        <v>1</v>
      </c>
      <c r="K314" s="9">
        <v>323</v>
      </c>
      <c r="L314" s="9">
        <v>2026</v>
      </c>
      <c r="M314" s="8" t="s">
        <v>2065</v>
      </c>
      <c r="N314" s="8" t="s">
        <v>42</v>
      </c>
      <c r="O314" s="8" t="s">
        <v>43</v>
      </c>
      <c r="P314" s="6" t="s">
        <v>44</v>
      </c>
      <c r="Q314" s="8" t="s">
        <v>45</v>
      </c>
      <c r="R314" s="10" t="s">
        <v>2066</v>
      </c>
      <c r="S314" s="11"/>
      <c r="T314" s="6"/>
      <c r="U314" s="24" t="str">
        <f>HYPERLINK("https://media.infra-m.ru/2217/2217145/cover/2217145.jpg", "Обложка")</f>
        <v>Обложка</v>
      </c>
      <c r="V314" s="24" t="str">
        <f>HYPERLINK("https://znanium.ru/catalog/product/2217145", "Ознакомиться")</f>
        <v>Ознакомиться</v>
      </c>
      <c r="W314" s="8" t="s">
        <v>2067</v>
      </c>
      <c r="X314" s="6"/>
      <c r="Y314" s="6"/>
      <c r="Z314" s="6"/>
      <c r="AA314" s="6" t="s">
        <v>76</v>
      </c>
      <c r="AB314" s="8"/>
    </row>
    <row r="315" spans="1:28" s="4" customFormat="1" ht="42" customHeight="1">
      <c r="A315" s="5">
        <v>0</v>
      </c>
      <c r="B315" s="6" t="s">
        <v>2068</v>
      </c>
      <c r="C315" s="7">
        <v>1020</v>
      </c>
      <c r="D315" s="8" t="s">
        <v>2069</v>
      </c>
      <c r="E315" s="8" t="s">
        <v>2070</v>
      </c>
      <c r="F315" s="8" t="s">
        <v>2071</v>
      </c>
      <c r="G315" s="6" t="s">
        <v>81</v>
      </c>
      <c r="H315" s="6" t="s">
        <v>1019</v>
      </c>
      <c r="I315" s="8"/>
      <c r="J315" s="9">
        <v>1</v>
      </c>
      <c r="K315" s="9">
        <v>224</v>
      </c>
      <c r="L315" s="9">
        <v>2021</v>
      </c>
      <c r="M315" s="8" t="s">
        <v>2072</v>
      </c>
      <c r="N315" s="8" t="s">
        <v>42</v>
      </c>
      <c r="O315" s="8" t="s">
        <v>65</v>
      </c>
      <c r="P315" s="6" t="s">
        <v>44</v>
      </c>
      <c r="Q315" s="8" t="s">
        <v>45</v>
      </c>
      <c r="R315" s="10" t="s">
        <v>2073</v>
      </c>
      <c r="S315" s="11"/>
      <c r="T315" s="6"/>
      <c r="U315" s="24" t="str">
        <f>HYPERLINK("https://media.infra-m.ru/1680/1680617/cover/1680617.jpg", "Обложка")</f>
        <v>Обложка</v>
      </c>
      <c r="V315" s="24" t="str">
        <f>HYPERLINK("https://znanium.ru/catalog/product/1680617", "Ознакомиться")</f>
        <v>Ознакомиться</v>
      </c>
      <c r="W315" s="8" t="s">
        <v>167</v>
      </c>
      <c r="X315" s="6"/>
      <c r="Y315" s="6"/>
      <c r="Z315" s="6"/>
      <c r="AA315" s="6" t="s">
        <v>369</v>
      </c>
      <c r="AB315" s="8"/>
    </row>
    <row r="316" spans="1:28" s="4" customFormat="1" ht="51.95" customHeight="1">
      <c r="A316" s="5">
        <v>0</v>
      </c>
      <c r="B316" s="6" t="s">
        <v>2074</v>
      </c>
      <c r="C316" s="7">
        <v>3480</v>
      </c>
      <c r="D316" s="8" t="s">
        <v>2075</v>
      </c>
      <c r="E316" s="8" t="s">
        <v>2076</v>
      </c>
      <c r="F316" s="8" t="s">
        <v>2077</v>
      </c>
      <c r="G316" s="6" t="s">
        <v>38</v>
      </c>
      <c r="H316" s="6" t="s">
        <v>39</v>
      </c>
      <c r="I316" s="8" t="s">
        <v>40</v>
      </c>
      <c r="J316" s="9">
        <v>1</v>
      </c>
      <c r="K316" s="9">
        <v>610</v>
      </c>
      <c r="L316" s="9">
        <v>2026</v>
      </c>
      <c r="M316" s="8" t="s">
        <v>2078</v>
      </c>
      <c r="N316" s="8" t="s">
        <v>229</v>
      </c>
      <c r="O316" s="8" t="s">
        <v>230</v>
      </c>
      <c r="P316" s="6" t="s">
        <v>44</v>
      </c>
      <c r="Q316" s="8" t="s">
        <v>45</v>
      </c>
      <c r="R316" s="10" t="s">
        <v>2079</v>
      </c>
      <c r="S316" s="11"/>
      <c r="T316" s="6"/>
      <c r="U316" s="24" t="str">
        <f>HYPERLINK("https://media.infra-m.ru/2223/2223205/cover/2223205.jpg", "Обложка")</f>
        <v>Обложка</v>
      </c>
      <c r="V316" s="24" t="str">
        <f>HYPERLINK("https://znanium.ru/catalog/product/2223205", "Ознакомиться")</f>
        <v>Ознакомиться</v>
      </c>
      <c r="W316" s="8" t="s">
        <v>2080</v>
      </c>
      <c r="X316" s="6"/>
      <c r="Y316" s="6"/>
      <c r="Z316" s="6"/>
      <c r="AA316" s="6" t="s">
        <v>168</v>
      </c>
      <c r="AB316" s="8"/>
    </row>
    <row r="317" spans="1:28" s="4" customFormat="1" ht="44.1" customHeight="1">
      <c r="A317" s="5">
        <v>0</v>
      </c>
      <c r="B317" s="6" t="s">
        <v>2081</v>
      </c>
      <c r="C317" s="7">
        <v>1012.8</v>
      </c>
      <c r="D317" s="8" t="s">
        <v>2082</v>
      </c>
      <c r="E317" s="8" t="s">
        <v>2083</v>
      </c>
      <c r="F317" s="8" t="s">
        <v>2084</v>
      </c>
      <c r="G317" s="6" t="s">
        <v>81</v>
      </c>
      <c r="H317" s="6" t="s">
        <v>99</v>
      </c>
      <c r="I317" s="8"/>
      <c r="J317" s="9">
        <v>1</v>
      </c>
      <c r="K317" s="9">
        <v>168</v>
      </c>
      <c r="L317" s="9">
        <v>2025</v>
      </c>
      <c r="M317" s="8" t="s">
        <v>2085</v>
      </c>
      <c r="N317" s="8" t="s">
        <v>42</v>
      </c>
      <c r="O317" s="8" t="s">
        <v>101</v>
      </c>
      <c r="P317" s="6" t="s">
        <v>44</v>
      </c>
      <c r="Q317" s="8" t="s">
        <v>45</v>
      </c>
      <c r="R317" s="10" t="s">
        <v>2086</v>
      </c>
      <c r="S317" s="11"/>
      <c r="T317" s="6"/>
      <c r="U317" s="24" t="str">
        <f>HYPERLINK("https://media.infra-m.ru/2169/2169364/cover/2169364.jpg", "Обложка")</f>
        <v>Обложка</v>
      </c>
      <c r="V317" s="24" t="str">
        <f>HYPERLINK("https://znanium.ru/catalog/product/2043226", "Ознакомиться")</f>
        <v>Ознакомиться</v>
      </c>
      <c r="W317" s="8" t="s">
        <v>565</v>
      </c>
      <c r="X317" s="6"/>
      <c r="Y317" s="6"/>
      <c r="Z317" s="6"/>
      <c r="AA317" s="6" t="s">
        <v>199</v>
      </c>
      <c r="AB317" s="8"/>
    </row>
    <row r="318" spans="1:28" s="4" customFormat="1" ht="51.95" customHeight="1">
      <c r="A318" s="5">
        <v>0</v>
      </c>
      <c r="B318" s="6" t="s">
        <v>2087</v>
      </c>
      <c r="C318" s="13">
        <v>508.8</v>
      </c>
      <c r="D318" s="8" t="s">
        <v>2088</v>
      </c>
      <c r="E318" s="8" t="s">
        <v>2089</v>
      </c>
      <c r="F318" s="8" t="s">
        <v>2090</v>
      </c>
      <c r="G318" s="6" t="s">
        <v>38</v>
      </c>
      <c r="H318" s="6" t="s">
        <v>39</v>
      </c>
      <c r="I318" s="8" t="s">
        <v>40</v>
      </c>
      <c r="J318" s="9">
        <v>1</v>
      </c>
      <c r="K318" s="9">
        <v>92</v>
      </c>
      <c r="L318" s="9">
        <v>2024</v>
      </c>
      <c r="M318" s="8" t="s">
        <v>2091</v>
      </c>
      <c r="N318" s="8" t="s">
        <v>284</v>
      </c>
      <c r="O318" s="8" t="s">
        <v>285</v>
      </c>
      <c r="P318" s="6" t="s">
        <v>44</v>
      </c>
      <c r="Q318" s="8" t="s">
        <v>45</v>
      </c>
      <c r="R318" s="10" t="s">
        <v>2092</v>
      </c>
      <c r="S318" s="11"/>
      <c r="T318" s="6"/>
      <c r="U318" s="24" t="str">
        <f>HYPERLINK("https://media.infra-m.ru/2117/2117132/cover/2117132.jpg", "Обложка")</f>
        <v>Обложка</v>
      </c>
      <c r="V318" s="24" t="str">
        <f>HYPERLINK("https://znanium.ru/catalog/product/1010082", "Ознакомиться")</f>
        <v>Ознакомиться</v>
      </c>
      <c r="W318" s="8" t="s">
        <v>191</v>
      </c>
      <c r="X318" s="6"/>
      <c r="Y318" s="6"/>
      <c r="Z318" s="6"/>
      <c r="AA318" s="6" t="s">
        <v>127</v>
      </c>
      <c r="AB318" s="8"/>
    </row>
    <row r="319" spans="1:28" s="4" customFormat="1" ht="51.95" customHeight="1">
      <c r="A319" s="5">
        <v>0</v>
      </c>
      <c r="B319" s="6" t="s">
        <v>2093</v>
      </c>
      <c r="C319" s="7">
        <v>1468.8</v>
      </c>
      <c r="D319" s="8" t="s">
        <v>2094</v>
      </c>
      <c r="E319" s="8" t="s">
        <v>2095</v>
      </c>
      <c r="F319" s="8" t="s">
        <v>1598</v>
      </c>
      <c r="G319" s="6" t="s">
        <v>81</v>
      </c>
      <c r="H319" s="6" t="s">
        <v>39</v>
      </c>
      <c r="I319" s="8" t="s">
        <v>40</v>
      </c>
      <c r="J319" s="9">
        <v>1</v>
      </c>
      <c r="K319" s="9">
        <v>243</v>
      </c>
      <c r="L319" s="9">
        <v>2025</v>
      </c>
      <c r="M319" s="8" t="s">
        <v>2096</v>
      </c>
      <c r="N319" s="8" t="s">
        <v>42</v>
      </c>
      <c r="O319" s="8" t="s">
        <v>65</v>
      </c>
      <c r="P319" s="6" t="s">
        <v>44</v>
      </c>
      <c r="Q319" s="8" t="s">
        <v>45</v>
      </c>
      <c r="R319" s="10" t="s">
        <v>2097</v>
      </c>
      <c r="S319" s="11"/>
      <c r="T319" s="6"/>
      <c r="U319" s="24" t="str">
        <f>HYPERLINK("https://media.infra-m.ru/2179/2179042/cover/2179042.jpg", "Обложка")</f>
        <v>Обложка</v>
      </c>
      <c r="V319" s="24" t="str">
        <f>HYPERLINK("https://znanium.ru/catalog/product/2173920", "Ознакомиться")</f>
        <v>Ознакомиться</v>
      </c>
      <c r="W319" s="8" t="s">
        <v>1601</v>
      </c>
      <c r="X319" s="6"/>
      <c r="Y319" s="6"/>
      <c r="Z319" s="6"/>
      <c r="AA319" s="6" t="s">
        <v>168</v>
      </c>
      <c r="AB319" s="8"/>
    </row>
    <row r="320" spans="1:28" s="4" customFormat="1" ht="44.1" customHeight="1">
      <c r="A320" s="5">
        <v>0</v>
      </c>
      <c r="B320" s="6" t="s">
        <v>2098</v>
      </c>
      <c r="C320" s="7">
        <v>1428</v>
      </c>
      <c r="D320" s="8" t="s">
        <v>2099</v>
      </c>
      <c r="E320" s="8" t="s">
        <v>2100</v>
      </c>
      <c r="F320" s="8" t="s">
        <v>2101</v>
      </c>
      <c r="G320" s="6" t="s">
        <v>132</v>
      </c>
      <c r="H320" s="6" t="s">
        <v>39</v>
      </c>
      <c r="I320" s="8" t="s">
        <v>40</v>
      </c>
      <c r="J320" s="9">
        <v>1</v>
      </c>
      <c r="K320" s="9">
        <v>221</v>
      </c>
      <c r="L320" s="9">
        <v>2025</v>
      </c>
      <c r="M320" s="8" t="s">
        <v>2102</v>
      </c>
      <c r="N320" s="8" t="s">
        <v>284</v>
      </c>
      <c r="O320" s="8" t="s">
        <v>383</v>
      </c>
      <c r="P320" s="6" t="s">
        <v>44</v>
      </c>
      <c r="Q320" s="8" t="s">
        <v>45</v>
      </c>
      <c r="R320" s="10" t="s">
        <v>2103</v>
      </c>
      <c r="S320" s="11"/>
      <c r="T320" s="6"/>
      <c r="U320" s="24" t="str">
        <f>HYPERLINK("https://media.infra-m.ru/2189/2189092/cover/2189092.jpg", "Обложка")</f>
        <v>Обложка</v>
      </c>
      <c r="V320" s="24" t="str">
        <f>HYPERLINK("https://znanium.ru/catalog/product/2189092", "Ознакомиться")</f>
        <v>Ознакомиться</v>
      </c>
      <c r="W320" s="8" t="s">
        <v>601</v>
      </c>
      <c r="X320" s="6" t="s">
        <v>320</v>
      </c>
      <c r="Y320" s="6"/>
      <c r="Z320" s="6"/>
      <c r="AA320" s="6" t="s">
        <v>159</v>
      </c>
      <c r="AB320" s="8"/>
    </row>
    <row r="321" spans="1:28" s="4" customFormat="1" ht="42" customHeight="1">
      <c r="A321" s="5">
        <v>0</v>
      </c>
      <c r="B321" s="6" t="s">
        <v>2104</v>
      </c>
      <c r="C321" s="13">
        <v>676.8</v>
      </c>
      <c r="D321" s="8" t="s">
        <v>2105</v>
      </c>
      <c r="E321" s="8" t="s">
        <v>2106</v>
      </c>
      <c r="F321" s="8" t="s">
        <v>2107</v>
      </c>
      <c r="G321" s="6" t="s">
        <v>38</v>
      </c>
      <c r="H321" s="6" t="s">
        <v>99</v>
      </c>
      <c r="I321" s="8"/>
      <c r="J321" s="9">
        <v>1</v>
      </c>
      <c r="K321" s="9">
        <v>112</v>
      </c>
      <c r="L321" s="9">
        <v>2025</v>
      </c>
      <c r="M321" s="8" t="s">
        <v>2108</v>
      </c>
      <c r="N321" s="8" t="s">
        <v>54</v>
      </c>
      <c r="O321" s="8" t="s">
        <v>91</v>
      </c>
      <c r="P321" s="6" t="s">
        <v>44</v>
      </c>
      <c r="Q321" s="8" t="s">
        <v>45</v>
      </c>
      <c r="R321" s="10" t="s">
        <v>1677</v>
      </c>
      <c r="S321" s="11"/>
      <c r="T321" s="6"/>
      <c r="U321" s="24" t="str">
        <f>HYPERLINK("https://media.infra-m.ru/2161/2161272/cover/2161272.jpg", "Обложка")</f>
        <v>Обложка</v>
      </c>
      <c r="V321" s="24" t="str">
        <f>HYPERLINK("https://znanium.ru/catalog/product/1062808", "Ознакомиться")</f>
        <v>Ознакомиться</v>
      </c>
      <c r="W321" s="8" t="s">
        <v>565</v>
      </c>
      <c r="X321" s="6"/>
      <c r="Y321" s="6"/>
      <c r="Z321" s="6"/>
      <c r="AA321" s="6" t="s">
        <v>1530</v>
      </c>
      <c r="AB321" s="8"/>
    </row>
    <row r="322" spans="1:28" s="4" customFormat="1" ht="42" customHeight="1">
      <c r="A322" s="5">
        <v>0</v>
      </c>
      <c r="B322" s="6" t="s">
        <v>2109</v>
      </c>
      <c r="C322" s="7">
        <v>1001.9</v>
      </c>
      <c r="D322" s="8" t="s">
        <v>2110</v>
      </c>
      <c r="E322" s="8" t="s">
        <v>2111</v>
      </c>
      <c r="F322" s="8" t="s">
        <v>2112</v>
      </c>
      <c r="G322" s="6" t="s">
        <v>38</v>
      </c>
      <c r="H322" s="6" t="s">
        <v>182</v>
      </c>
      <c r="I322" s="8" t="s">
        <v>40</v>
      </c>
      <c r="J322" s="9">
        <v>1</v>
      </c>
      <c r="K322" s="9">
        <v>186</v>
      </c>
      <c r="L322" s="9">
        <v>2023</v>
      </c>
      <c r="M322" s="8" t="s">
        <v>2113</v>
      </c>
      <c r="N322" s="8" t="s">
        <v>284</v>
      </c>
      <c r="O322" s="8" t="s">
        <v>482</v>
      </c>
      <c r="P322" s="6" t="s">
        <v>44</v>
      </c>
      <c r="Q322" s="8" t="s">
        <v>45</v>
      </c>
      <c r="R322" s="10" t="s">
        <v>2114</v>
      </c>
      <c r="S322" s="11"/>
      <c r="T322" s="6"/>
      <c r="U322" s="24" t="str">
        <f>HYPERLINK("https://media.infra-m.ru/1898/1898014/cover/1898014.jpg", "Обложка")</f>
        <v>Обложка</v>
      </c>
      <c r="V322" s="24" t="str">
        <f>HYPERLINK("https://znanium.ru/catalog/product/1228785", "Ознакомиться")</f>
        <v>Ознакомиться</v>
      </c>
      <c r="W322" s="8" t="s">
        <v>2115</v>
      </c>
      <c r="X322" s="6"/>
      <c r="Y322" s="6"/>
      <c r="Z322" s="6"/>
      <c r="AA322" s="6" t="s">
        <v>290</v>
      </c>
      <c r="AB322" s="8"/>
    </row>
    <row r="323" spans="1:28" s="4" customFormat="1" ht="42" customHeight="1">
      <c r="A323" s="5">
        <v>0</v>
      </c>
      <c r="B323" s="6" t="s">
        <v>2116</v>
      </c>
      <c r="C323" s="7">
        <v>1068</v>
      </c>
      <c r="D323" s="8" t="s">
        <v>2117</v>
      </c>
      <c r="E323" s="8" t="s">
        <v>2118</v>
      </c>
      <c r="F323" s="8" t="s">
        <v>1598</v>
      </c>
      <c r="G323" s="6" t="s">
        <v>38</v>
      </c>
      <c r="H323" s="6" t="s">
        <v>39</v>
      </c>
      <c r="I323" s="8" t="s">
        <v>40</v>
      </c>
      <c r="J323" s="9">
        <v>1</v>
      </c>
      <c r="K323" s="9">
        <v>198</v>
      </c>
      <c r="L323" s="9">
        <v>2023</v>
      </c>
      <c r="M323" s="8" t="s">
        <v>2119</v>
      </c>
      <c r="N323" s="8" t="s">
        <v>42</v>
      </c>
      <c r="O323" s="8" t="s">
        <v>65</v>
      </c>
      <c r="P323" s="6" t="s">
        <v>44</v>
      </c>
      <c r="Q323" s="8" t="s">
        <v>45</v>
      </c>
      <c r="R323" s="10" t="s">
        <v>1873</v>
      </c>
      <c r="S323" s="11"/>
      <c r="T323" s="6"/>
      <c r="U323" s="24" t="str">
        <f>HYPERLINK("https://media.infra-m.ru/1922/1922248/cover/1922248.jpg", "Обложка")</f>
        <v>Обложка</v>
      </c>
      <c r="V323" s="24" t="str">
        <f>HYPERLINK("https://znanium.ru/catalog/product/1922248", "Ознакомиться")</f>
        <v>Ознакомиться</v>
      </c>
      <c r="W323" s="8" t="s">
        <v>1601</v>
      </c>
      <c r="X323" s="6"/>
      <c r="Y323" s="6"/>
      <c r="Z323" s="6"/>
      <c r="AA323" s="6" t="s">
        <v>168</v>
      </c>
      <c r="AB323" s="8"/>
    </row>
    <row r="324" spans="1:28" s="4" customFormat="1" ht="51.95" customHeight="1">
      <c r="A324" s="5">
        <v>0</v>
      </c>
      <c r="B324" s="6" t="s">
        <v>2120</v>
      </c>
      <c r="C324" s="7">
        <v>2388</v>
      </c>
      <c r="D324" s="8" t="s">
        <v>2121</v>
      </c>
      <c r="E324" s="8" t="s">
        <v>2122</v>
      </c>
      <c r="F324" s="8" t="s">
        <v>2123</v>
      </c>
      <c r="G324" s="6" t="s">
        <v>132</v>
      </c>
      <c r="H324" s="6" t="s">
        <v>39</v>
      </c>
      <c r="I324" s="8" t="s">
        <v>40</v>
      </c>
      <c r="J324" s="9">
        <v>1</v>
      </c>
      <c r="K324" s="9">
        <v>435</v>
      </c>
      <c r="L324" s="9">
        <v>2024</v>
      </c>
      <c r="M324" s="8" t="s">
        <v>2124</v>
      </c>
      <c r="N324" s="8" t="s">
        <v>42</v>
      </c>
      <c r="O324" s="8" t="s">
        <v>101</v>
      </c>
      <c r="P324" s="6" t="s">
        <v>44</v>
      </c>
      <c r="Q324" s="8" t="s">
        <v>45</v>
      </c>
      <c r="R324" s="10" t="s">
        <v>2125</v>
      </c>
      <c r="S324" s="11"/>
      <c r="T324" s="6"/>
      <c r="U324" s="24" t="str">
        <f>HYPERLINK("https://media.infra-m.ru/1891/1891876/cover/1891876.jpg", "Обложка")</f>
        <v>Обложка</v>
      </c>
      <c r="V324" s="24" t="str">
        <f>HYPERLINK("https://znanium.ru/catalog/product/1891876", "Ознакомиться")</f>
        <v>Ознакомиться</v>
      </c>
      <c r="W324" s="8" t="s">
        <v>937</v>
      </c>
      <c r="X324" s="6"/>
      <c r="Y324" s="6"/>
      <c r="Z324" s="6"/>
      <c r="AA324" s="6" t="s">
        <v>58</v>
      </c>
      <c r="AB324" s="8" t="s">
        <v>766</v>
      </c>
    </row>
    <row r="325" spans="1:28" s="4" customFormat="1" ht="51.95" customHeight="1">
      <c r="A325" s="5">
        <v>0</v>
      </c>
      <c r="B325" s="6" t="s">
        <v>2126</v>
      </c>
      <c r="C325" s="7">
        <v>2112</v>
      </c>
      <c r="D325" s="8" t="s">
        <v>2127</v>
      </c>
      <c r="E325" s="8" t="s">
        <v>2128</v>
      </c>
      <c r="F325" s="8" t="s">
        <v>2129</v>
      </c>
      <c r="G325" s="6" t="s">
        <v>132</v>
      </c>
      <c r="H325" s="6" t="s">
        <v>182</v>
      </c>
      <c r="I325" s="8"/>
      <c r="J325" s="9">
        <v>1</v>
      </c>
      <c r="K325" s="9">
        <v>391</v>
      </c>
      <c r="L325" s="9">
        <v>2023</v>
      </c>
      <c r="M325" s="8" t="s">
        <v>2130</v>
      </c>
      <c r="N325" s="8" t="s">
        <v>42</v>
      </c>
      <c r="O325" s="8" t="s">
        <v>101</v>
      </c>
      <c r="P325" s="6" t="s">
        <v>44</v>
      </c>
      <c r="Q325" s="8" t="s">
        <v>45</v>
      </c>
      <c r="R325" s="10" t="s">
        <v>390</v>
      </c>
      <c r="S325" s="11"/>
      <c r="T325" s="6"/>
      <c r="U325" s="24" t="str">
        <f>HYPERLINK("https://media.infra-m.ru/1913/1913777/cover/1913777.jpg", "Обложка")</f>
        <v>Обложка</v>
      </c>
      <c r="V325" s="12"/>
      <c r="W325" s="8" t="s">
        <v>2131</v>
      </c>
      <c r="X325" s="6"/>
      <c r="Y325" s="6"/>
      <c r="Z325" s="6"/>
      <c r="AA325" s="6" t="s">
        <v>119</v>
      </c>
      <c r="AB325" s="8"/>
    </row>
    <row r="326" spans="1:28" s="4" customFormat="1" ht="44.1" customHeight="1">
      <c r="A326" s="5">
        <v>0</v>
      </c>
      <c r="B326" s="6" t="s">
        <v>2132</v>
      </c>
      <c r="C326" s="13">
        <v>700.8</v>
      </c>
      <c r="D326" s="8" t="s">
        <v>2133</v>
      </c>
      <c r="E326" s="8" t="s">
        <v>2134</v>
      </c>
      <c r="F326" s="8" t="s">
        <v>2135</v>
      </c>
      <c r="G326" s="6" t="s">
        <v>38</v>
      </c>
      <c r="H326" s="6" t="s">
        <v>99</v>
      </c>
      <c r="I326" s="8"/>
      <c r="J326" s="9">
        <v>1</v>
      </c>
      <c r="K326" s="9">
        <v>128</v>
      </c>
      <c r="L326" s="9">
        <v>2024</v>
      </c>
      <c r="M326" s="8" t="s">
        <v>2136</v>
      </c>
      <c r="N326" s="8" t="s">
        <v>42</v>
      </c>
      <c r="O326" s="8" t="s">
        <v>101</v>
      </c>
      <c r="P326" s="6" t="s">
        <v>44</v>
      </c>
      <c r="Q326" s="8" t="s">
        <v>1152</v>
      </c>
      <c r="R326" s="10" t="s">
        <v>2137</v>
      </c>
      <c r="S326" s="11"/>
      <c r="T326" s="6"/>
      <c r="U326" s="12"/>
      <c r="V326" s="24" t="str">
        <f>HYPERLINK("https://znanium.ru/catalog/product/1174547", "Ознакомиться")</f>
        <v>Ознакомиться</v>
      </c>
      <c r="W326" s="8" t="s">
        <v>2138</v>
      </c>
      <c r="X326" s="6"/>
      <c r="Y326" s="6"/>
      <c r="Z326" s="6"/>
      <c r="AA326" s="6" t="s">
        <v>377</v>
      </c>
      <c r="AB326" s="8"/>
    </row>
    <row r="327" spans="1:28" s="4" customFormat="1" ht="42" customHeight="1">
      <c r="A327" s="5">
        <v>0</v>
      </c>
      <c r="B327" s="6" t="s">
        <v>2139</v>
      </c>
      <c r="C327" s="13">
        <v>840</v>
      </c>
      <c r="D327" s="8" t="s">
        <v>2140</v>
      </c>
      <c r="E327" s="8" t="s">
        <v>2141</v>
      </c>
      <c r="F327" s="8" t="s">
        <v>2142</v>
      </c>
      <c r="G327" s="6" t="s">
        <v>81</v>
      </c>
      <c r="H327" s="6" t="s">
        <v>39</v>
      </c>
      <c r="I327" s="8" t="s">
        <v>40</v>
      </c>
      <c r="J327" s="9">
        <v>1</v>
      </c>
      <c r="K327" s="9">
        <v>139</v>
      </c>
      <c r="L327" s="9">
        <v>2024</v>
      </c>
      <c r="M327" s="8" t="s">
        <v>2143</v>
      </c>
      <c r="N327" s="8" t="s">
        <v>42</v>
      </c>
      <c r="O327" s="8" t="s">
        <v>101</v>
      </c>
      <c r="P327" s="6" t="s">
        <v>44</v>
      </c>
      <c r="Q327" s="8" t="s">
        <v>45</v>
      </c>
      <c r="R327" s="10" t="s">
        <v>269</v>
      </c>
      <c r="S327" s="11"/>
      <c r="T327" s="6"/>
      <c r="U327" s="24" t="str">
        <f>HYPERLINK("https://media.infra-m.ru/2121/2121217/cover/2121217.jpg", "Обложка")</f>
        <v>Обложка</v>
      </c>
      <c r="V327" s="24" t="str">
        <f>HYPERLINK("https://znanium.ru/catalog/product/2121217", "Ознакомиться")</f>
        <v>Ознакомиться</v>
      </c>
      <c r="W327" s="8" t="s">
        <v>2144</v>
      </c>
      <c r="X327" s="6"/>
      <c r="Y327" s="6"/>
      <c r="Z327" s="6"/>
      <c r="AA327" s="6" t="s">
        <v>119</v>
      </c>
      <c r="AB327" s="8"/>
    </row>
    <row r="328" spans="1:28" s="4" customFormat="1" ht="51.95" customHeight="1">
      <c r="A328" s="5">
        <v>0</v>
      </c>
      <c r="B328" s="6" t="s">
        <v>2145</v>
      </c>
      <c r="C328" s="7">
        <v>1485.6</v>
      </c>
      <c r="D328" s="8" t="s">
        <v>2146</v>
      </c>
      <c r="E328" s="8" t="s">
        <v>2147</v>
      </c>
      <c r="F328" s="8" t="s">
        <v>2148</v>
      </c>
      <c r="G328" s="6" t="s">
        <v>132</v>
      </c>
      <c r="H328" s="6" t="s">
        <v>99</v>
      </c>
      <c r="I328" s="8"/>
      <c r="J328" s="9">
        <v>1</v>
      </c>
      <c r="K328" s="9">
        <v>192</v>
      </c>
      <c r="L328" s="9">
        <v>2021</v>
      </c>
      <c r="M328" s="8" t="s">
        <v>2149</v>
      </c>
      <c r="N328" s="8" t="s">
        <v>42</v>
      </c>
      <c r="O328" s="8" t="s">
        <v>101</v>
      </c>
      <c r="P328" s="6" t="s">
        <v>2150</v>
      </c>
      <c r="Q328" s="8" t="s">
        <v>45</v>
      </c>
      <c r="R328" s="10" t="s">
        <v>1329</v>
      </c>
      <c r="S328" s="11"/>
      <c r="T328" s="6"/>
      <c r="U328" s="24" t="str">
        <f>HYPERLINK("https://media.infra-m.ru/1861/1861573/cover/1861573.jpg", "Обложка")</f>
        <v>Обложка</v>
      </c>
      <c r="V328" s="24" t="str">
        <f>HYPERLINK("https://znanium.ru/catalog/product/1391094", "Ознакомиться")</f>
        <v>Ознакомиться</v>
      </c>
      <c r="W328" s="8"/>
      <c r="X328" s="6"/>
      <c r="Y328" s="6"/>
      <c r="Z328" s="6"/>
      <c r="AA328" s="6" t="s">
        <v>1363</v>
      </c>
      <c r="AB328" s="8"/>
    </row>
    <row r="329" spans="1:28" s="4" customFormat="1" ht="44.1" customHeight="1">
      <c r="A329" s="5">
        <v>0</v>
      </c>
      <c r="B329" s="6" t="s">
        <v>2151</v>
      </c>
      <c r="C329" s="13">
        <v>924</v>
      </c>
      <c r="D329" s="8" t="s">
        <v>2152</v>
      </c>
      <c r="E329" s="8" t="s">
        <v>2153</v>
      </c>
      <c r="F329" s="8" t="s">
        <v>2154</v>
      </c>
      <c r="G329" s="6" t="s">
        <v>38</v>
      </c>
      <c r="H329" s="6" t="s">
        <v>39</v>
      </c>
      <c r="I329" s="8" t="s">
        <v>40</v>
      </c>
      <c r="J329" s="9">
        <v>1</v>
      </c>
      <c r="K329" s="9">
        <v>198</v>
      </c>
      <c r="L329" s="9">
        <v>2022</v>
      </c>
      <c r="M329" s="8" t="s">
        <v>2155</v>
      </c>
      <c r="N329" s="8" t="s">
        <v>42</v>
      </c>
      <c r="O329" s="8" t="s">
        <v>189</v>
      </c>
      <c r="P329" s="6" t="s">
        <v>44</v>
      </c>
      <c r="Q329" s="8" t="s">
        <v>45</v>
      </c>
      <c r="R329" s="10" t="s">
        <v>2156</v>
      </c>
      <c r="S329" s="11"/>
      <c r="T329" s="6"/>
      <c r="U329" s="24" t="str">
        <f>HYPERLINK("https://media.infra-m.ru/1832/1832149/cover/1832149.jpg", "Обложка")</f>
        <v>Обложка</v>
      </c>
      <c r="V329" s="24" t="str">
        <f>HYPERLINK("https://znanium.ru/catalog/product/1832149", "Ознакомиться")</f>
        <v>Ознакомиться</v>
      </c>
      <c r="W329" s="8" t="s">
        <v>2157</v>
      </c>
      <c r="X329" s="6"/>
      <c r="Y329" s="6"/>
      <c r="Z329" s="6"/>
      <c r="AA329" s="6" t="s">
        <v>199</v>
      </c>
      <c r="AB329" s="8"/>
    </row>
    <row r="330" spans="1:28" s="4" customFormat="1" ht="51.95" customHeight="1">
      <c r="A330" s="5">
        <v>0</v>
      </c>
      <c r="B330" s="6" t="s">
        <v>2158</v>
      </c>
      <c r="C330" s="7">
        <v>2344.8000000000002</v>
      </c>
      <c r="D330" s="8" t="s">
        <v>2159</v>
      </c>
      <c r="E330" s="8" t="s">
        <v>2160</v>
      </c>
      <c r="F330" s="8" t="s">
        <v>2161</v>
      </c>
      <c r="G330" s="6" t="s">
        <v>81</v>
      </c>
      <c r="H330" s="6" t="s">
        <v>39</v>
      </c>
      <c r="I330" s="8" t="s">
        <v>828</v>
      </c>
      <c r="J330" s="9">
        <v>1</v>
      </c>
      <c r="K330" s="9">
        <v>376</v>
      </c>
      <c r="L330" s="9">
        <v>2025</v>
      </c>
      <c r="M330" s="8" t="s">
        <v>2162</v>
      </c>
      <c r="N330" s="8" t="s">
        <v>284</v>
      </c>
      <c r="O330" s="8" t="s">
        <v>482</v>
      </c>
      <c r="P330" s="6" t="s">
        <v>659</v>
      </c>
      <c r="Q330" s="8" t="s">
        <v>45</v>
      </c>
      <c r="R330" s="10" t="s">
        <v>2163</v>
      </c>
      <c r="S330" s="11"/>
      <c r="T330" s="6"/>
      <c r="U330" s="24" t="str">
        <f>HYPERLINK("https://media.infra-m.ru/2194/2194322/cover/2194322.jpg", "Обложка")</f>
        <v>Обложка</v>
      </c>
      <c r="V330" s="24" t="str">
        <f>HYPERLINK("https://znanium.ru/catalog/product/1909201", "Ознакомиться")</f>
        <v>Ознакомиться</v>
      </c>
      <c r="W330" s="8" t="s">
        <v>1882</v>
      </c>
      <c r="X330" s="6"/>
      <c r="Y330" s="6"/>
      <c r="Z330" s="6"/>
      <c r="AA330" s="6" t="s">
        <v>290</v>
      </c>
      <c r="AB330" s="8"/>
    </row>
    <row r="331" spans="1:28" s="4" customFormat="1" ht="42" customHeight="1">
      <c r="A331" s="5">
        <v>0</v>
      </c>
      <c r="B331" s="6" t="s">
        <v>2164</v>
      </c>
      <c r="C331" s="7">
        <v>3028.8</v>
      </c>
      <c r="D331" s="8" t="s">
        <v>2165</v>
      </c>
      <c r="E331" s="8" t="s">
        <v>2166</v>
      </c>
      <c r="F331" s="8" t="s">
        <v>2167</v>
      </c>
      <c r="G331" s="6" t="s">
        <v>81</v>
      </c>
      <c r="H331" s="6" t="s">
        <v>39</v>
      </c>
      <c r="I331" s="8" t="s">
        <v>40</v>
      </c>
      <c r="J331" s="9">
        <v>1</v>
      </c>
      <c r="K331" s="9">
        <v>486</v>
      </c>
      <c r="L331" s="9">
        <v>2026</v>
      </c>
      <c r="M331" s="8" t="s">
        <v>2168</v>
      </c>
      <c r="N331" s="8" t="s">
        <v>220</v>
      </c>
      <c r="O331" s="8" t="s">
        <v>296</v>
      </c>
      <c r="P331" s="6" t="s">
        <v>44</v>
      </c>
      <c r="Q331" s="8" t="s">
        <v>45</v>
      </c>
      <c r="R331" s="10" t="s">
        <v>2169</v>
      </c>
      <c r="S331" s="11"/>
      <c r="T331" s="6"/>
      <c r="U331" s="24" t="str">
        <f>HYPERLINK("https://media.infra-m.ru/2224/2224091/cover/2224091.jpg", "Обложка")</f>
        <v>Обложка</v>
      </c>
      <c r="V331" s="24" t="str">
        <f>HYPERLINK("https://znanium.ru/catalog/product/2020585", "Ознакомиться")</f>
        <v>Ознакомиться</v>
      </c>
      <c r="W331" s="8" t="s">
        <v>1945</v>
      </c>
      <c r="X331" s="6"/>
      <c r="Y331" s="6"/>
      <c r="Z331" s="6"/>
      <c r="AA331" s="6" t="s">
        <v>290</v>
      </c>
      <c r="AB331" s="8"/>
    </row>
    <row r="332" spans="1:28" s="4" customFormat="1" ht="42" customHeight="1">
      <c r="A332" s="5">
        <v>0</v>
      </c>
      <c r="B332" s="6" t="s">
        <v>2170</v>
      </c>
      <c r="C332" s="7">
        <v>1200</v>
      </c>
      <c r="D332" s="8" t="s">
        <v>2171</v>
      </c>
      <c r="E332" s="8" t="s">
        <v>2172</v>
      </c>
      <c r="F332" s="8" t="s">
        <v>2173</v>
      </c>
      <c r="G332" s="6" t="s">
        <v>81</v>
      </c>
      <c r="H332" s="6" t="s">
        <v>39</v>
      </c>
      <c r="I332" s="8" t="s">
        <v>40</v>
      </c>
      <c r="J332" s="9">
        <v>1</v>
      </c>
      <c r="K332" s="9">
        <v>217</v>
      </c>
      <c r="L332" s="9">
        <v>2024</v>
      </c>
      <c r="M332" s="8" t="s">
        <v>2174</v>
      </c>
      <c r="N332" s="8" t="s">
        <v>220</v>
      </c>
      <c r="O332" s="8" t="s">
        <v>252</v>
      </c>
      <c r="P332" s="6" t="s">
        <v>44</v>
      </c>
      <c r="Q332" s="8" t="s">
        <v>45</v>
      </c>
      <c r="R332" s="10" t="s">
        <v>2175</v>
      </c>
      <c r="S332" s="11"/>
      <c r="T332" s="6"/>
      <c r="U332" s="24" t="str">
        <f>HYPERLINK("https://media.infra-m.ru/2132/2132065/cover/2132065.jpg", "Обложка")</f>
        <v>Обложка</v>
      </c>
      <c r="V332" s="24" t="str">
        <f>HYPERLINK("https://znanium.ru/catalog/product/2132065", "Ознакомиться")</f>
        <v>Ознакомиться</v>
      </c>
      <c r="W332" s="8" t="s">
        <v>593</v>
      </c>
      <c r="X332" s="6"/>
      <c r="Y332" s="6"/>
      <c r="Z332" s="6"/>
      <c r="AA332" s="6" t="s">
        <v>111</v>
      </c>
      <c r="AB332" s="8"/>
    </row>
    <row r="333" spans="1:28" s="4" customFormat="1" ht="44.1" customHeight="1">
      <c r="A333" s="5">
        <v>0</v>
      </c>
      <c r="B333" s="6" t="s">
        <v>2176</v>
      </c>
      <c r="C333" s="7">
        <v>1032</v>
      </c>
      <c r="D333" s="8" t="s">
        <v>2177</v>
      </c>
      <c r="E333" s="8" t="s">
        <v>2178</v>
      </c>
      <c r="F333" s="8" t="s">
        <v>1511</v>
      </c>
      <c r="G333" s="6" t="s">
        <v>38</v>
      </c>
      <c r="H333" s="6" t="s">
        <v>39</v>
      </c>
      <c r="I333" s="8" t="s">
        <v>40</v>
      </c>
      <c r="J333" s="9">
        <v>1</v>
      </c>
      <c r="K333" s="9">
        <v>232</v>
      </c>
      <c r="L333" s="9">
        <v>2021</v>
      </c>
      <c r="M333" s="8" t="s">
        <v>2179</v>
      </c>
      <c r="N333" s="8" t="s">
        <v>229</v>
      </c>
      <c r="O333" s="8" t="s">
        <v>230</v>
      </c>
      <c r="P333" s="6" t="s">
        <v>44</v>
      </c>
      <c r="Q333" s="8" t="s">
        <v>45</v>
      </c>
      <c r="R333" s="10" t="s">
        <v>2180</v>
      </c>
      <c r="S333" s="11"/>
      <c r="T333" s="6"/>
      <c r="U333" s="24" t="str">
        <f>HYPERLINK("https://media.infra-m.ru/1158/1158751/cover/1158751.jpg", "Обложка")</f>
        <v>Обложка</v>
      </c>
      <c r="V333" s="24" t="str">
        <f>HYPERLINK("https://znanium.ru/catalog/product/1158751", "Ознакомиться")</f>
        <v>Ознакомиться</v>
      </c>
      <c r="W333" s="8" t="s">
        <v>1514</v>
      </c>
      <c r="X333" s="6"/>
      <c r="Y333" s="6"/>
      <c r="Z333" s="6"/>
      <c r="AA333" s="6" t="s">
        <v>199</v>
      </c>
      <c r="AB333" s="8"/>
    </row>
    <row r="334" spans="1:28" s="4" customFormat="1" ht="42" customHeight="1">
      <c r="A334" s="5">
        <v>0</v>
      </c>
      <c r="B334" s="6" t="s">
        <v>2181</v>
      </c>
      <c r="C334" s="7">
        <v>2996.4</v>
      </c>
      <c r="D334" s="8" t="s">
        <v>2182</v>
      </c>
      <c r="E334" s="8" t="s">
        <v>2183</v>
      </c>
      <c r="F334" s="8"/>
      <c r="G334" s="6" t="s">
        <v>38</v>
      </c>
      <c r="H334" s="6" t="s">
        <v>39</v>
      </c>
      <c r="I334" s="8"/>
      <c r="J334" s="9">
        <v>20</v>
      </c>
      <c r="K334" s="9">
        <v>49</v>
      </c>
      <c r="L334" s="9">
        <v>2024</v>
      </c>
      <c r="M334" s="8"/>
      <c r="N334" s="8" t="s">
        <v>284</v>
      </c>
      <c r="O334" s="8" t="s">
        <v>312</v>
      </c>
      <c r="P334" s="6" t="s">
        <v>183</v>
      </c>
      <c r="Q334" s="8"/>
      <c r="R334" s="10"/>
      <c r="S334" s="11"/>
      <c r="T334" s="6"/>
      <c r="U334" s="24" t="str">
        <f>HYPERLINK("https://media.infra-m.ru/2092/2092317/cover/2092317.jpg", "Обложка")</f>
        <v>Обложка</v>
      </c>
      <c r="V334" s="24" t="str">
        <f>HYPERLINK("https://znanium.ru/catalog/product/2174189", "Ознакомиться")</f>
        <v>Ознакомиться</v>
      </c>
      <c r="W334" s="8"/>
      <c r="X334" s="6"/>
      <c r="Y334" s="6"/>
      <c r="Z334" s="6"/>
      <c r="AA334" s="6" t="s">
        <v>127</v>
      </c>
      <c r="AB334" s="8"/>
    </row>
    <row r="335" spans="1:28" s="4" customFormat="1" ht="42" customHeight="1">
      <c r="A335" s="5">
        <v>0</v>
      </c>
      <c r="B335" s="6" t="s">
        <v>2184</v>
      </c>
      <c r="C335" s="7">
        <v>2996.4</v>
      </c>
      <c r="D335" s="8" t="s">
        <v>2185</v>
      </c>
      <c r="E335" s="8" t="s">
        <v>2186</v>
      </c>
      <c r="F335" s="8"/>
      <c r="G335" s="6" t="s">
        <v>38</v>
      </c>
      <c r="H335" s="6" t="s">
        <v>39</v>
      </c>
      <c r="I335" s="8"/>
      <c r="J335" s="9">
        <v>1</v>
      </c>
      <c r="K335" s="9">
        <v>52</v>
      </c>
      <c r="L335" s="9">
        <v>2025</v>
      </c>
      <c r="M335" s="8"/>
      <c r="N335" s="8" t="s">
        <v>284</v>
      </c>
      <c r="O335" s="8" t="s">
        <v>312</v>
      </c>
      <c r="P335" s="6" t="s">
        <v>183</v>
      </c>
      <c r="Q335" s="8"/>
      <c r="R335" s="10"/>
      <c r="S335" s="11"/>
      <c r="T335" s="6"/>
      <c r="U335" s="24" t="str">
        <f>HYPERLINK("https://media.infra-m.ru/2174/2174189/cover/2174189.jpg", "Обложка")</f>
        <v>Обложка</v>
      </c>
      <c r="V335" s="24" t="str">
        <f>HYPERLINK("https://znanium.ru/catalog/product/2174189", "Ознакомиться")</f>
        <v>Ознакомиться</v>
      </c>
      <c r="W335" s="8"/>
      <c r="X335" s="6" t="s">
        <v>158</v>
      </c>
      <c r="Y335" s="6"/>
      <c r="Z335" s="6"/>
      <c r="AA335" s="6" t="s">
        <v>127</v>
      </c>
      <c r="AB335" s="8"/>
    </row>
    <row r="336" spans="1:28" s="4" customFormat="1" ht="51.95" customHeight="1">
      <c r="A336" s="5">
        <v>0</v>
      </c>
      <c r="B336" s="6" t="s">
        <v>2187</v>
      </c>
      <c r="C336" s="7">
        <v>2116.8000000000002</v>
      </c>
      <c r="D336" s="8" t="s">
        <v>2188</v>
      </c>
      <c r="E336" s="8" t="s">
        <v>2189</v>
      </c>
      <c r="F336" s="8" t="s">
        <v>1598</v>
      </c>
      <c r="G336" s="6" t="s">
        <v>38</v>
      </c>
      <c r="H336" s="6" t="s">
        <v>39</v>
      </c>
      <c r="I336" s="8" t="s">
        <v>40</v>
      </c>
      <c r="J336" s="9">
        <v>1</v>
      </c>
      <c r="K336" s="9">
        <v>340</v>
      </c>
      <c r="L336" s="9">
        <v>2025</v>
      </c>
      <c r="M336" s="8" t="s">
        <v>2190</v>
      </c>
      <c r="N336" s="8" t="s">
        <v>42</v>
      </c>
      <c r="O336" s="8" t="s">
        <v>65</v>
      </c>
      <c r="P336" s="6" t="s">
        <v>44</v>
      </c>
      <c r="Q336" s="8" t="s">
        <v>45</v>
      </c>
      <c r="R336" s="10" t="s">
        <v>2191</v>
      </c>
      <c r="S336" s="11"/>
      <c r="T336" s="6"/>
      <c r="U336" s="24" t="str">
        <f>HYPERLINK("https://media.infra-m.ru/2208/2208709/cover/2208709.jpg", "Обложка")</f>
        <v>Обложка</v>
      </c>
      <c r="V336" s="24" t="str">
        <f>HYPERLINK("https://znanium.ru/catalog/product/2125928", "Ознакомиться")</f>
        <v>Ознакомиться</v>
      </c>
      <c r="W336" s="8" t="s">
        <v>1601</v>
      </c>
      <c r="X336" s="6"/>
      <c r="Y336" s="6"/>
      <c r="Z336" s="6"/>
      <c r="AA336" s="6" t="s">
        <v>199</v>
      </c>
      <c r="AB336" s="8"/>
    </row>
    <row r="337" spans="1:28" s="4" customFormat="1" ht="51.95" customHeight="1">
      <c r="A337" s="5">
        <v>0</v>
      </c>
      <c r="B337" s="6" t="s">
        <v>2192</v>
      </c>
      <c r="C337" s="7">
        <v>1288.8</v>
      </c>
      <c r="D337" s="8" t="s">
        <v>2193</v>
      </c>
      <c r="E337" s="8" t="s">
        <v>2194</v>
      </c>
      <c r="F337" s="8" t="s">
        <v>1598</v>
      </c>
      <c r="G337" s="6" t="s">
        <v>38</v>
      </c>
      <c r="H337" s="6" t="s">
        <v>39</v>
      </c>
      <c r="I337" s="8" t="s">
        <v>40</v>
      </c>
      <c r="J337" s="9">
        <v>1</v>
      </c>
      <c r="K337" s="9">
        <v>229</v>
      </c>
      <c r="L337" s="9">
        <v>2024</v>
      </c>
      <c r="M337" s="8" t="s">
        <v>2195</v>
      </c>
      <c r="N337" s="8" t="s">
        <v>42</v>
      </c>
      <c r="O337" s="8" t="s">
        <v>65</v>
      </c>
      <c r="P337" s="6" t="s">
        <v>44</v>
      </c>
      <c r="Q337" s="8" t="s">
        <v>45</v>
      </c>
      <c r="R337" s="10" t="s">
        <v>2196</v>
      </c>
      <c r="S337" s="11"/>
      <c r="T337" s="6"/>
      <c r="U337" s="24" t="str">
        <f>HYPERLINK("https://media.infra-m.ru/2151/2151392/cover/2151392.jpg", "Обложка")</f>
        <v>Обложка</v>
      </c>
      <c r="V337" s="24" t="str">
        <f>HYPERLINK("https://znanium.ru/catalog/product/2045844", "Ознакомиться")</f>
        <v>Ознакомиться</v>
      </c>
      <c r="W337" s="8" t="s">
        <v>1601</v>
      </c>
      <c r="X337" s="6"/>
      <c r="Y337" s="6"/>
      <c r="Z337" s="6"/>
      <c r="AA337" s="6" t="s">
        <v>76</v>
      </c>
      <c r="AB337" s="8"/>
    </row>
    <row r="338" spans="1:28" s="4" customFormat="1" ht="51.95" customHeight="1">
      <c r="A338" s="5">
        <v>0</v>
      </c>
      <c r="B338" s="6" t="s">
        <v>2197</v>
      </c>
      <c r="C338" s="7">
        <v>1284</v>
      </c>
      <c r="D338" s="8" t="s">
        <v>2198</v>
      </c>
      <c r="E338" s="8" t="s">
        <v>2199</v>
      </c>
      <c r="F338" s="8" t="s">
        <v>1598</v>
      </c>
      <c r="G338" s="6" t="s">
        <v>81</v>
      </c>
      <c r="H338" s="6" t="s">
        <v>39</v>
      </c>
      <c r="I338" s="8" t="s">
        <v>40</v>
      </c>
      <c r="J338" s="9">
        <v>1</v>
      </c>
      <c r="K338" s="9">
        <v>281</v>
      </c>
      <c r="L338" s="9">
        <v>2021</v>
      </c>
      <c r="M338" s="8" t="s">
        <v>2200</v>
      </c>
      <c r="N338" s="8" t="s">
        <v>42</v>
      </c>
      <c r="O338" s="8" t="s">
        <v>65</v>
      </c>
      <c r="P338" s="6" t="s">
        <v>44</v>
      </c>
      <c r="Q338" s="8" t="s">
        <v>45</v>
      </c>
      <c r="R338" s="10" t="s">
        <v>2201</v>
      </c>
      <c r="S338" s="11"/>
      <c r="T338" s="6"/>
      <c r="U338" s="24" t="str">
        <f>HYPERLINK("https://media.infra-m.ru/1680/1680620/cover/1680620.jpg", "Обложка")</f>
        <v>Обложка</v>
      </c>
      <c r="V338" s="24" t="str">
        <f>HYPERLINK("https://znanium.ru/catalog/product/1680620", "Ознакомиться")</f>
        <v>Ознакомиться</v>
      </c>
      <c r="W338" s="8" t="s">
        <v>1601</v>
      </c>
      <c r="X338" s="6"/>
      <c r="Y338" s="6"/>
      <c r="Z338" s="6"/>
      <c r="AA338" s="6" t="s">
        <v>339</v>
      </c>
      <c r="AB338" s="8"/>
    </row>
    <row r="339" spans="1:28" s="4" customFormat="1" ht="42" customHeight="1">
      <c r="A339" s="5">
        <v>0</v>
      </c>
      <c r="B339" s="6" t="s">
        <v>2202</v>
      </c>
      <c r="C339" s="7">
        <v>3688.8</v>
      </c>
      <c r="D339" s="8" t="s">
        <v>2203</v>
      </c>
      <c r="E339" s="8" t="s">
        <v>2204</v>
      </c>
      <c r="F339" s="8" t="s">
        <v>2205</v>
      </c>
      <c r="G339" s="6" t="s">
        <v>81</v>
      </c>
      <c r="H339" s="6" t="s">
        <v>39</v>
      </c>
      <c r="I339" s="8" t="s">
        <v>40</v>
      </c>
      <c r="J339" s="9">
        <v>1</v>
      </c>
      <c r="K339" s="9">
        <v>591</v>
      </c>
      <c r="L339" s="9">
        <v>2026</v>
      </c>
      <c r="M339" s="8" t="s">
        <v>2206</v>
      </c>
      <c r="N339" s="8" t="s">
        <v>42</v>
      </c>
      <c r="O339" s="8" t="s">
        <v>65</v>
      </c>
      <c r="P339" s="6" t="s">
        <v>44</v>
      </c>
      <c r="Q339" s="8" t="s">
        <v>45</v>
      </c>
      <c r="R339" s="10" t="s">
        <v>2207</v>
      </c>
      <c r="S339" s="11"/>
      <c r="T339" s="6"/>
      <c r="U339" s="24" t="str">
        <f>HYPERLINK("https://media.infra-m.ru/2216/2216910/cover/2216910.jpg", "Обложка")</f>
        <v>Обложка</v>
      </c>
      <c r="V339" s="24" t="str">
        <f>HYPERLINK("https://znanium.ru/catalog/product/2216852", "Ознакомиться")</f>
        <v>Ознакомиться</v>
      </c>
      <c r="W339" s="8" t="s">
        <v>1601</v>
      </c>
      <c r="X339" s="6"/>
      <c r="Y339" s="6"/>
      <c r="Z339" s="6"/>
      <c r="AA339" s="6" t="s">
        <v>48</v>
      </c>
      <c r="AB339" s="8"/>
    </row>
    <row r="340" spans="1:28" s="4" customFormat="1" ht="51.95" customHeight="1">
      <c r="A340" s="5">
        <v>0</v>
      </c>
      <c r="B340" s="6" t="s">
        <v>2208</v>
      </c>
      <c r="C340" s="7">
        <v>2112</v>
      </c>
      <c r="D340" s="8" t="s">
        <v>2209</v>
      </c>
      <c r="E340" s="8" t="s">
        <v>2210</v>
      </c>
      <c r="F340" s="8" t="s">
        <v>2211</v>
      </c>
      <c r="G340" s="6" t="s">
        <v>132</v>
      </c>
      <c r="H340" s="6" t="s">
        <v>39</v>
      </c>
      <c r="I340" s="8" t="s">
        <v>40</v>
      </c>
      <c r="J340" s="9">
        <v>1</v>
      </c>
      <c r="K340" s="9">
        <v>320</v>
      </c>
      <c r="L340" s="9">
        <v>2025</v>
      </c>
      <c r="M340" s="8" t="s">
        <v>2212</v>
      </c>
      <c r="N340" s="8" t="s">
        <v>220</v>
      </c>
      <c r="O340" s="8" t="s">
        <v>296</v>
      </c>
      <c r="P340" s="6" t="s">
        <v>44</v>
      </c>
      <c r="Q340" s="8" t="s">
        <v>45</v>
      </c>
      <c r="R340" s="10" t="s">
        <v>2213</v>
      </c>
      <c r="S340" s="11"/>
      <c r="T340" s="6"/>
      <c r="U340" s="24" t="str">
        <f>HYPERLINK("https://media.infra-m.ru/2221/2221122/cover/2221122.jpg", "Обложка")</f>
        <v>Обложка</v>
      </c>
      <c r="V340" s="24" t="str">
        <f>HYPERLINK("https://znanium.ru/catalog/product/2221122", "Ознакомиться")</f>
        <v>Ознакомиться</v>
      </c>
      <c r="W340" s="8" t="s">
        <v>2214</v>
      </c>
      <c r="X340" s="6" t="s">
        <v>1094</v>
      </c>
      <c r="Y340" s="6"/>
      <c r="Z340" s="6"/>
      <c r="AA340" s="6" t="s">
        <v>159</v>
      </c>
      <c r="AB340" s="8"/>
    </row>
    <row r="341" spans="1:28" s="4" customFormat="1" ht="42" customHeight="1">
      <c r="A341" s="5">
        <v>0</v>
      </c>
      <c r="B341" s="6" t="s">
        <v>2215</v>
      </c>
      <c r="C341" s="7">
        <v>1476</v>
      </c>
      <c r="D341" s="8" t="s">
        <v>2216</v>
      </c>
      <c r="E341" s="8" t="s">
        <v>2217</v>
      </c>
      <c r="F341" s="8" t="s">
        <v>2218</v>
      </c>
      <c r="G341" s="6" t="s">
        <v>38</v>
      </c>
      <c r="H341" s="6" t="s">
        <v>39</v>
      </c>
      <c r="I341" s="8" t="s">
        <v>40</v>
      </c>
      <c r="J341" s="9">
        <v>1</v>
      </c>
      <c r="K341" s="9">
        <v>243</v>
      </c>
      <c r="L341" s="9">
        <v>2025</v>
      </c>
      <c r="M341" s="8" t="s">
        <v>2219</v>
      </c>
      <c r="N341" s="8" t="s">
        <v>220</v>
      </c>
      <c r="O341" s="8" t="s">
        <v>296</v>
      </c>
      <c r="P341" s="6" t="s">
        <v>44</v>
      </c>
      <c r="Q341" s="8" t="s">
        <v>45</v>
      </c>
      <c r="R341" s="10" t="s">
        <v>2220</v>
      </c>
      <c r="S341" s="11"/>
      <c r="T341" s="6"/>
      <c r="U341" s="24" t="str">
        <f>HYPERLINK("https://media.infra-m.ru/1891/1891786/cover/1891786.jpg", "Обложка")</f>
        <v>Обложка</v>
      </c>
      <c r="V341" s="24" t="str">
        <f>HYPERLINK("https://znanium.ru/catalog/product/1891786", "Ознакомиться")</f>
        <v>Ознакомиться</v>
      </c>
      <c r="W341" s="8" t="s">
        <v>2221</v>
      </c>
      <c r="X341" s="6"/>
      <c r="Y341" s="6"/>
      <c r="Z341" s="6"/>
      <c r="AA341" s="6" t="s">
        <v>369</v>
      </c>
      <c r="AB341" s="8"/>
    </row>
    <row r="342" spans="1:28" s="4" customFormat="1" ht="44.1" customHeight="1">
      <c r="A342" s="5">
        <v>0</v>
      </c>
      <c r="B342" s="6" t="s">
        <v>2222</v>
      </c>
      <c r="C342" s="7">
        <v>1224</v>
      </c>
      <c r="D342" s="8" t="s">
        <v>2223</v>
      </c>
      <c r="E342" s="8" t="s">
        <v>2224</v>
      </c>
      <c r="F342" s="8" t="s">
        <v>2225</v>
      </c>
      <c r="G342" s="6" t="s">
        <v>38</v>
      </c>
      <c r="H342" s="6" t="s">
        <v>39</v>
      </c>
      <c r="I342" s="8" t="s">
        <v>40</v>
      </c>
      <c r="J342" s="9">
        <v>1</v>
      </c>
      <c r="K342" s="9">
        <v>185</v>
      </c>
      <c r="L342" s="9">
        <v>2026</v>
      </c>
      <c r="M342" s="8" t="s">
        <v>2226</v>
      </c>
      <c r="N342" s="8" t="s">
        <v>220</v>
      </c>
      <c r="O342" s="8" t="s">
        <v>296</v>
      </c>
      <c r="P342" s="6" t="s">
        <v>44</v>
      </c>
      <c r="Q342" s="8" t="s">
        <v>45</v>
      </c>
      <c r="R342" s="10" t="s">
        <v>2227</v>
      </c>
      <c r="S342" s="11"/>
      <c r="T342" s="6"/>
      <c r="U342" s="24" t="str">
        <f>HYPERLINK("https://media.infra-m.ru/2227/2227459/cover/2227459.jpg", "Обложка")</f>
        <v>Обложка</v>
      </c>
      <c r="V342" s="24" t="str">
        <f>HYPERLINK("https://znanium.ru/catalog/product/2227459", "Ознакомиться")</f>
        <v>Ознакомиться</v>
      </c>
      <c r="W342" s="8"/>
      <c r="X342" s="6"/>
      <c r="Y342" s="6"/>
      <c r="Z342" s="6"/>
      <c r="AA342" s="6" t="s">
        <v>199</v>
      </c>
      <c r="AB342" s="8"/>
    </row>
    <row r="343" spans="1:28" s="4" customFormat="1" ht="42" customHeight="1">
      <c r="A343" s="5">
        <v>0</v>
      </c>
      <c r="B343" s="6" t="s">
        <v>2228</v>
      </c>
      <c r="C343" s="7">
        <v>1380</v>
      </c>
      <c r="D343" s="8" t="s">
        <v>2229</v>
      </c>
      <c r="E343" s="8" t="s">
        <v>2230</v>
      </c>
      <c r="F343" s="8" t="s">
        <v>2231</v>
      </c>
      <c r="G343" s="6" t="s">
        <v>132</v>
      </c>
      <c r="H343" s="6" t="s">
        <v>39</v>
      </c>
      <c r="I343" s="8" t="s">
        <v>752</v>
      </c>
      <c r="J343" s="9">
        <v>1</v>
      </c>
      <c r="K343" s="9">
        <v>196</v>
      </c>
      <c r="L343" s="9">
        <v>2026</v>
      </c>
      <c r="M343" s="8" t="s">
        <v>2232</v>
      </c>
      <c r="N343" s="8" t="s">
        <v>42</v>
      </c>
      <c r="O343" s="8" t="s">
        <v>246</v>
      </c>
      <c r="P343" s="6" t="s">
        <v>44</v>
      </c>
      <c r="Q343" s="8" t="s">
        <v>45</v>
      </c>
      <c r="R343" s="10" t="s">
        <v>2233</v>
      </c>
      <c r="S343" s="11"/>
      <c r="T343" s="6"/>
      <c r="U343" s="24" t="str">
        <f>HYPERLINK("https://media.infra-m.ru/2197/2197793/cover/2197793.jpg", "Обложка")</f>
        <v>Обложка</v>
      </c>
      <c r="V343" s="24" t="str">
        <f>HYPERLINK("https://znanium.ru/catalog/product/2221375", "Ознакомиться")</f>
        <v>Ознакомиться</v>
      </c>
      <c r="W343" s="8" t="s">
        <v>2234</v>
      </c>
      <c r="X343" s="6" t="s">
        <v>838</v>
      </c>
      <c r="Y343" s="6"/>
      <c r="Z343" s="6"/>
      <c r="AA343" s="6" t="s">
        <v>159</v>
      </c>
      <c r="AB343" s="8"/>
    </row>
    <row r="344" spans="1:28" s="4" customFormat="1" ht="42" customHeight="1">
      <c r="A344" s="5">
        <v>0</v>
      </c>
      <c r="B344" s="6" t="s">
        <v>2235</v>
      </c>
      <c r="C344" s="13">
        <v>952.8</v>
      </c>
      <c r="D344" s="8" t="s">
        <v>2236</v>
      </c>
      <c r="E344" s="8" t="s">
        <v>2237</v>
      </c>
      <c r="F344" s="8" t="s">
        <v>2238</v>
      </c>
      <c r="G344" s="6" t="s">
        <v>38</v>
      </c>
      <c r="H344" s="6" t="s">
        <v>39</v>
      </c>
      <c r="I344" s="8" t="s">
        <v>40</v>
      </c>
      <c r="J344" s="9">
        <v>1</v>
      </c>
      <c r="K344" s="9">
        <v>153</v>
      </c>
      <c r="L344" s="9">
        <v>2023</v>
      </c>
      <c r="M344" s="8" t="s">
        <v>2239</v>
      </c>
      <c r="N344" s="8" t="s">
        <v>220</v>
      </c>
      <c r="O344" s="8" t="s">
        <v>296</v>
      </c>
      <c r="P344" s="6" t="s">
        <v>44</v>
      </c>
      <c r="Q344" s="8" t="s">
        <v>45</v>
      </c>
      <c r="R344" s="10" t="s">
        <v>2240</v>
      </c>
      <c r="S344" s="11"/>
      <c r="T344" s="6"/>
      <c r="U344" s="24" t="str">
        <f>HYPERLINK("https://media.infra-m.ru/2197/2197054/cover/2197054.jpg", "Обложка")</f>
        <v>Обложка</v>
      </c>
      <c r="V344" s="24" t="str">
        <f>HYPERLINK("https://znanium.ru/catalog/product/1922278", "Ознакомиться")</f>
        <v>Ознакомиться</v>
      </c>
      <c r="W344" s="8" t="s">
        <v>846</v>
      </c>
      <c r="X344" s="6"/>
      <c r="Y344" s="6"/>
      <c r="Z344" s="6"/>
      <c r="AA344" s="6" t="s">
        <v>48</v>
      </c>
      <c r="AB344" s="8"/>
    </row>
    <row r="345" spans="1:28" s="4" customFormat="1" ht="42" customHeight="1">
      <c r="A345" s="5">
        <v>0</v>
      </c>
      <c r="B345" s="6" t="s">
        <v>2241</v>
      </c>
      <c r="C345" s="7">
        <v>1092</v>
      </c>
      <c r="D345" s="8" t="s">
        <v>2242</v>
      </c>
      <c r="E345" s="8" t="s">
        <v>2243</v>
      </c>
      <c r="F345" s="8" t="s">
        <v>2244</v>
      </c>
      <c r="G345" s="6" t="s">
        <v>38</v>
      </c>
      <c r="H345" s="6" t="s">
        <v>39</v>
      </c>
      <c r="I345" s="8" t="s">
        <v>40</v>
      </c>
      <c r="J345" s="9">
        <v>1</v>
      </c>
      <c r="K345" s="9">
        <v>198</v>
      </c>
      <c r="L345" s="9">
        <v>2024</v>
      </c>
      <c r="M345" s="8" t="s">
        <v>2245</v>
      </c>
      <c r="N345" s="8" t="s">
        <v>220</v>
      </c>
      <c r="O345" s="8" t="s">
        <v>252</v>
      </c>
      <c r="P345" s="6" t="s">
        <v>44</v>
      </c>
      <c r="Q345" s="8" t="s">
        <v>45</v>
      </c>
      <c r="R345" s="10" t="s">
        <v>2246</v>
      </c>
      <c r="S345" s="11"/>
      <c r="T345" s="6"/>
      <c r="U345" s="24" t="str">
        <f>HYPERLINK("https://media.infra-m.ru/2124/2124908/cover/2124908.jpg", "Обложка")</f>
        <v>Обложка</v>
      </c>
      <c r="V345" s="24" t="str">
        <f>HYPERLINK("https://znanium.ru/catalog/product/2124908", "Ознакомиться")</f>
        <v>Ознакомиться</v>
      </c>
      <c r="W345" s="8" t="s">
        <v>699</v>
      </c>
      <c r="X345" s="6"/>
      <c r="Y345" s="6"/>
      <c r="Z345" s="6"/>
      <c r="AA345" s="6" t="s">
        <v>290</v>
      </c>
      <c r="AB345" s="8"/>
    </row>
    <row r="346" spans="1:28" s="4" customFormat="1" ht="44.1" customHeight="1">
      <c r="A346" s="5">
        <v>0</v>
      </c>
      <c r="B346" s="6" t="s">
        <v>2247</v>
      </c>
      <c r="C346" s="7">
        <v>1032</v>
      </c>
      <c r="D346" s="8" t="s">
        <v>2248</v>
      </c>
      <c r="E346" s="8" t="s">
        <v>2249</v>
      </c>
      <c r="F346" s="8" t="s">
        <v>2250</v>
      </c>
      <c r="G346" s="6" t="s">
        <v>38</v>
      </c>
      <c r="H346" s="6" t="s">
        <v>1019</v>
      </c>
      <c r="I346" s="8" t="s">
        <v>1020</v>
      </c>
      <c r="J346" s="9">
        <v>1</v>
      </c>
      <c r="K346" s="9">
        <v>180</v>
      </c>
      <c r="L346" s="9">
        <v>2024</v>
      </c>
      <c r="M346" s="8" t="s">
        <v>2251</v>
      </c>
      <c r="N346" s="8" t="s">
        <v>220</v>
      </c>
      <c r="O346" s="8" t="s">
        <v>252</v>
      </c>
      <c r="P346" s="6" t="s">
        <v>44</v>
      </c>
      <c r="Q346" s="8" t="s">
        <v>1152</v>
      </c>
      <c r="R346" s="10" t="s">
        <v>2252</v>
      </c>
      <c r="S346" s="11"/>
      <c r="T346" s="6"/>
      <c r="U346" s="24" t="str">
        <f>HYPERLINK("https://media.infra-m.ru/2086/2086789/cover/2086789.jpg", "Обложка")</f>
        <v>Обложка</v>
      </c>
      <c r="V346" s="24" t="str">
        <f>HYPERLINK("https://znanium.ru/catalog/product/2086789", "Ознакомиться")</f>
        <v>Ознакомиться</v>
      </c>
      <c r="W346" s="8" t="s">
        <v>176</v>
      </c>
      <c r="X346" s="6"/>
      <c r="Y346" s="6"/>
      <c r="Z346" s="6"/>
      <c r="AA346" s="6" t="s">
        <v>377</v>
      </c>
      <c r="AB346" s="8"/>
    </row>
    <row r="347" spans="1:28" s="4" customFormat="1" ht="51.95" customHeight="1">
      <c r="A347" s="5">
        <v>0</v>
      </c>
      <c r="B347" s="6" t="s">
        <v>2253</v>
      </c>
      <c r="C347" s="7">
        <v>2020.8</v>
      </c>
      <c r="D347" s="8" t="s">
        <v>2254</v>
      </c>
      <c r="E347" s="8" t="s">
        <v>2255</v>
      </c>
      <c r="F347" s="8" t="s">
        <v>2256</v>
      </c>
      <c r="G347" s="6" t="s">
        <v>132</v>
      </c>
      <c r="H347" s="6" t="s">
        <v>39</v>
      </c>
      <c r="I347" s="8" t="s">
        <v>40</v>
      </c>
      <c r="J347" s="9">
        <v>1</v>
      </c>
      <c r="K347" s="9">
        <v>306</v>
      </c>
      <c r="L347" s="9">
        <v>2025</v>
      </c>
      <c r="M347" s="8" t="s">
        <v>2257</v>
      </c>
      <c r="N347" s="8" t="s">
        <v>220</v>
      </c>
      <c r="O347" s="8" t="s">
        <v>296</v>
      </c>
      <c r="P347" s="6" t="s">
        <v>44</v>
      </c>
      <c r="Q347" s="8" t="s">
        <v>45</v>
      </c>
      <c r="R347" s="10" t="s">
        <v>2258</v>
      </c>
      <c r="S347" s="11"/>
      <c r="T347" s="6"/>
      <c r="U347" s="24" t="str">
        <f>HYPERLINK("https://media.infra-m.ru/2227/2227514/cover/2227514.jpg", "Обложка")</f>
        <v>Обложка</v>
      </c>
      <c r="V347" s="24" t="str">
        <f>HYPERLINK("https://znanium.ru/catalog/product/2198554", "Ознакомиться")</f>
        <v>Ознакомиться</v>
      </c>
      <c r="W347" s="8" t="s">
        <v>2259</v>
      </c>
      <c r="X347" s="6"/>
      <c r="Y347" s="6"/>
      <c r="Z347" s="6"/>
      <c r="AA347" s="6" t="s">
        <v>159</v>
      </c>
      <c r="AB347" s="8"/>
    </row>
    <row r="348" spans="1:28" s="4" customFormat="1" ht="51.95" customHeight="1">
      <c r="A348" s="5">
        <v>0</v>
      </c>
      <c r="B348" s="6" t="s">
        <v>2260</v>
      </c>
      <c r="C348" s="7">
        <v>1512</v>
      </c>
      <c r="D348" s="8" t="s">
        <v>2261</v>
      </c>
      <c r="E348" s="8" t="s">
        <v>2262</v>
      </c>
      <c r="F348" s="8" t="s">
        <v>2263</v>
      </c>
      <c r="G348" s="6" t="s">
        <v>38</v>
      </c>
      <c r="H348" s="6" t="s">
        <v>182</v>
      </c>
      <c r="I348" s="8" t="s">
        <v>40</v>
      </c>
      <c r="J348" s="9">
        <v>20</v>
      </c>
      <c r="K348" s="9">
        <v>321</v>
      </c>
      <c r="L348" s="9">
        <v>2022</v>
      </c>
      <c r="M348" s="8" t="s">
        <v>2264</v>
      </c>
      <c r="N348" s="8" t="s">
        <v>284</v>
      </c>
      <c r="O348" s="8" t="s">
        <v>2265</v>
      </c>
      <c r="P348" s="6" t="s">
        <v>44</v>
      </c>
      <c r="Q348" s="8" t="s">
        <v>45</v>
      </c>
      <c r="R348" s="10" t="s">
        <v>2266</v>
      </c>
      <c r="S348" s="11"/>
      <c r="T348" s="6"/>
      <c r="U348" s="24" t="str">
        <f>HYPERLINK("https://media.infra-m.ru/1021/1021973/cover/1021973.jpg", "Обложка")</f>
        <v>Обложка</v>
      </c>
      <c r="V348" s="24" t="str">
        <f>HYPERLINK("https://znanium.ru/catalog/product/1021973", "Ознакомиться")</f>
        <v>Ознакомиться</v>
      </c>
      <c r="W348" s="8" t="s">
        <v>2267</v>
      </c>
      <c r="X348" s="6"/>
      <c r="Y348" s="6"/>
      <c r="Z348" s="6"/>
      <c r="AA348" s="6" t="s">
        <v>127</v>
      </c>
      <c r="AB348" s="8"/>
    </row>
    <row r="349" spans="1:28" s="4" customFormat="1" ht="51.95" customHeight="1">
      <c r="A349" s="5">
        <v>0</v>
      </c>
      <c r="B349" s="6" t="s">
        <v>2268</v>
      </c>
      <c r="C349" s="7">
        <v>1008</v>
      </c>
      <c r="D349" s="8" t="s">
        <v>2269</v>
      </c>
      <c r="E349" s="8" t="s">
        <v>2270</v>
      </c>
      <c r="F349" s="8" t="s">
        <v>2271</v>
      </c>
      <c r="G349" s="6" t="s">
        <v>38</v>
      </c>
      <c r="H349" s="6" t="s">
        <v>39</v>
      </c>
      <c r="I349" s="8" t="s">
        <v>40</v>
      </c>
      <c r="J349" s="9">
        <v>1</v>
      </c>
      <c r="K349" s="9">
        <v>164</v>
      </c>
      <c r="L349" s="9">
        <v>2023</v>
      </c>
      <c r="M349" s="8" t="s">
        <v>2272</v>
      </c>
      <c r="N349" s="8" t="s">
        <v>284</v>
      </c>
      <c r="O349" s="8" t="s">
        <v>2265</v>
      </c>
      <c r="P349" s="6" t="s">
        <v>44</v>
      </c>
      <c r="Q349" s="8" t="s">
        <v>45</v>
      </c>
      <c r="R349" s="10" t="s">
        <v>2273</v>
      </c>
      <c r="S349" s="11"/>
      <c r="T349" s="6"/>
      <c r="U349" s="24" t="str">
        <f>HYPERLINK("https://media.infra-m.ru/2005/2005171/cover/2005171.jpg", "Обложка")</f>
        <v>Обложка</v>
      </c>
      <c r="V349" s="24" t="str">
        <f>HYPERLINK("https://znanium.ru/catalog/product/1911012", "Ознакомиться")</f>
        <v>Ознакомиться</v>
      </c>
      <c r="W349" s="8" t="s">
        <v>2274</v>
      </c>
      <c r="X349" s="6"/>
      <c r="Y349" s="6"/>
      <c r="Z349" s="6"/>
      <c r="AA349" s="6" t="s">
        <v>119</v>
      </c>
      <c r="AB349" s="8"/>
    </row>
    <row r="350" spans="1:28" s="4" customFormat="1" ht="51.95" customHeight="1">
      <c r="A350" s="5">
        <v>0</v>
      </c>
      <c r="B350" s="6" t="s">
        <v>2275</v>
      </c>
      <c r="C350" s="7">
        <v>1596</v>
      </c>
      <c r="D350" s="8" t="s">
        <v>2276</v>
      </c>
      <c r="E350" s="8" t="s">
        <v>2277</v>
      </c>
      <c r="F350" s="8" t="s">
        <v>2278</v>
      </c>
      <c r="G350" s="6" t="s">
        <v>81</v>
      </c>
      <c r="H350" s="6" t="s">
        <v>99</v>
      </c>
      <c r="I350" s="8"/>
      <c r="J350" s="9">
        <v>1</v>
      </c>
      <c r="K350" s="9">
        <v>288</v>
      </c>
      <c r="L350" s="9">
        <v>2024</v>
      </c>
      <c r="M350" s="8" t="s">
        <v>2279</v>
      </c>
      <c r="N350" s="8" t="s">
        <v>42</v>
      </c>
      <c r="O350" s="8" t="s">
        <v>101</v>
      </c>
      <c r="P350" s="6" t="s">
        <v>44</v>
      </c>
      <c r="Q350" s="8" t="s">
        <v>45</v>
      </c>
      <c r="R350" s="10" t="s">
        <v>2280</v>
      </c>
      <c r="S350" s="11"/>
      <c r="T350" s="6"/>
      <c r="U350" s="24" t="str">
        <f>HYPERLINK("https://media.infra-m.ru/2122/2122057/cover/2122057.jpg", "Обложка")</f>
        <v>Обложка</v>
      </c>
      <c r="V350" s="24" t="str">
        <f>HYPERLINK("https://znanium.ru/catalog/product/2122057", "Ознакомиться")</f>
        <v>Ознакомиться</v>
      </c>
      <c r="W350" s="8" t="s">
        <v>2281</v>
      </c>
      <c r="X350" s="6"/>
      <c r="Y350" s="6"/>
      <c r="Z350" s="6"/>
      <c r="AA350" s="6" t="s">
        <v>119</v>
      </c>
      <c r="AB350" s="8"/>
    </row>
    <row r="351" spans="1:28" s="4" customFormat="1" ht="42" customHeight="1">
      <c r="A351" s="5">
        <v>0</v>
      </c>
      <c r="B351" s="6" t="s">
        <v>2282</v>
      </c>
      <c r="C351" s="7">
        <v>1432.8</v>
      </c>
      <c r="D351" s="8" t="s">
        <v>2283</v>
      </c>
      <c r="E351" s="8" t="s">
        <v>2284</v>
      </c>
      <c r="F351" s="8" t="s">
        <v>2285</v>
      </c>
      <c r="G351" s="6" t="s">
        <v>26</v>
      </c>
      <c r="H351" s="6" t="s">
        <v>99</v>
      </c>
      <c r="I351" s="8"/>
      <c r="J351" s="9">
        <v>1</v>
      </c>
      <c r="K351" s="9">
        <v>240</v>
      </c>
      <c r="L351" s="9">
        <v>2025</v>
      </c>
      <c r="M351" s="8" t="s">
        <v>2286</v>
      </c>
      <c r="N351" s="8" t="s">
        <v>42</v>
      </c>
      <c r="O351" s="8" t="s">
        <v>101</v>
      </c>
      <c r="P351" s="6" t="s">
        <v>44</v>
      </c>
      <c r="Q351" s="8" t="s">
        <v>416</v>
      </c>
      <c r="R351" s="10" t="s">
        <v>2287</v>
      </c>
      <c r="S351" s="11"/>
      <c r="T351" s="6"/>
      <c r="U351" s="24" t="str">
        <f>HYPERLINK("https://media.infra-m.ru/2188/2188725/cover/2188725.jpg", "Обложка")</f>
        <v>Обложка</v>
      </c>
      <c r="V351" s="24" t="str">
        <f>HYPERLINK("https://znanium.ru/catalog/product/1860994", "Ознакомиться")</f>
        <v>Ознакомиться</v>
      </c>
      <c r="W351" s="8" t="s">
        <v>565</v>
      </c>
      <c r="X351" s="6"/>
      <c r="Y351" s="6"/>
      <c r="Z351" s="6"/>
      <c r="AA351" s="6" t="s">
        <v>2288</v>
      </c>
      <c r="AB351" s="8"/>
    </row>
    <row r="352" spans="1:28" s="4" customFormat="1" ht="44.1" customHeight="1">
      <c r="A352" s="5">
        <v>0</v>
      </c>
      <c r="B352" s="6" t="s">
        <v>2289</v>
      </c>
      <c r="C352" s="7">
        <v>1510.8</v>
      </c>
      <c r="D352" s="8" t="s">
        <v>2290</v>
      </c>
      <c r="E352" s="8" t="s">
        <v>2291</v>
      </c>
      <c r="F352" s="8" t="s">
        <v>2292</v>
      </c>
      <c r="G352" s="6" t="s">
        <v>81</v>
      </c>
      <c r="H352" s="6" t="s">
        <v>39</v>
      </c>
      <c r="I352" s="8" t="s">
        <v>40</v>
      </c>
      <c r="J352" s="9">
        <v>1</v>
      </c>
      <c r="K352" s="9">
        <v>185</v>
      </c>
      <c r="L352" s="9">
        <v>2025</v>
      </c>
      <c r="M352" s="8" t="s">
        <v>2293</v>
      </c>
      <c r="N352" s="8" t="s">
        <v>284</v>
      </c>
      <c r="O352" s="8" t="s">
        <v>717</v>
      </c>
      <c r="P352" s="6" t="s">
        <v>44</v>
      </c>
      <c r="Q352" s="8" t="s">
        <v>45</v>
      </c>
      <c r="R352" s="10" t="s">
        <v>2294</v>
      </c>
      <c r="S352" s="11"/>
      <c r="T352" s="6"/>
      <c r="U352" s="24" t="str">
        <f>HYPERLINK("https://media.infra-m.ru/2187/2187772/cover/2187772.jpg", "Обложка")</f>
        <v>Обложка</v>
      </c>
      <c r="V352" s="24" t="str">
        <f>HYPERLINK("https://znanium.ru/catalog/product/2187772", "Ознакомиться")</f>
        <v>Ознакомиться</v>
      </c>
      <c r="W352" s="8" t="s">
        <v>2295</v>
      </c>
      <c r="X352" s="6"/>
      <c r="Y352" s="6"/>
      <c r="Z352" s="6"/>
      <c r="AA352" s="6" t="s">
        <v>159</v>
      </c>
      <c r="AB352" s="8"/>
    </row>
    <row r="353" spans="1:28" s="4" customFormat="1" ht="44.1" customHeight="1">
      <c r="A353" s="5">
        <v>0</v>
      </c>
      <c r="B353" s="6" t="s">
        <v>2296</v>
      </c>
      <c r="C353" s="7">
        <v>1356</v>
      </c>
      <c r="D353" s="8" t="s">
        <v>2297</v>
      </c>
      <c r="E353" s="8" t="s">
        <v>2298</v>
      </c>
      <c r="F353" s="8" t="s">
        <v>1026</v>
      </c>
      <c r="G353" s="6" t="s">
        <v>38</v>
      </c>
      <c r="H353" s="6" t="s">
        <v>39</v>
      </c>
      <c r="I353" s="8" t="s">
        <v>336</v>
      </c>
      <c r="J353" s="9">
        <v>1</v>
      </c>
      <c r="K353" s="9">
        <v>332</v>
      </c>
      <c r="L353" s="9">
        <v>2019</v>
      </c>
      <c r="M353" s="8" t="s">
        <v>2299</v>
      </c>
      <c r="N353" s="8" t="s">
        <v>42</v>
      </c>
      <c r="O353" s="8" t="s">
        <v>189</v>
      </c>
      <c r="P353" s="6" t="s">
        <v>44</v>
      </c>
      <c r="Q353" s="8" t="s">
        <v>1152</v>
      </c>
      <c r="R353" s="10" t="s">
        <v>2300</v>
      </c>
      <c r="S353" s="11"/>
      <c r="T353" s="6"/>
      <c r="U353" s="24" t="str">
        <f>HYPERLINK("https://media.infra-m.ru/1003/1003754/cover/1003754.jpg", "Обложка")</f>
        <v>Обложка</v>
      </c>
      <c r="V353" s="24" t="str">
        <f>HYPERLINK("https://znanium.ru/catalog/product/1003754", "Ознакомиться")</f>
        <v>Ознакомиться</v>
      </c>
      <c r="W353" s="8" t="s">
        <v>1029</v>
      </c>
      <c r="X353" s="6"/>
      <c r="Y353" s="6"/>
      <c r="Z353" s="6"/>
      <c r="AA353" s="6" t="s">
        <v>290</v>
      </c>
      <c r="AB353" s="8"/>
    </row>
    <row r="354" spans="1:28" s="4" customFormat="1" ht="51.95" customHeight="1">
      <c r="A354" s="5">
        <v>0</v>
      </c>
      <c r="B354" s="6" t="s">
        <v>2301</v>
      </c>
      <c r="C354" s="13">
        <v>628.79999999999995</v>
      </c>
      <c r="D354" s="8" t="s">
        <v>2302</v>
      </c>
      <c r="E354" s="8" t="s">
        <v>2303</v>
      </c>
      <c r="F354" s="8" t="s">
        <v>2304</v>
      </c>
      <c r="G354" s="6" t="s">
        <v>132</v>
      </c>
      <c r="H354" s="6" t="s">
        <v>571</v>
      </c>
      <c r="I354" s="8"/>
      <c r="J354" s="9">
        <v>1</v>
      </c>
      <c r="K354" s="9">
        <v>176</v>
      </c>
      <c r="L354" s="9">
        <v>2020</v>
      </c>
      <c r="M354" s="8" t="s">
        <v>2305</v>
      </c>
      <c r="N354" s="8" t="s">
        <v>42</v>
      </c>
      <c r="O354" s="8" t="s">
        <v>2306</v>
      </c>
      <c r="P354" s="6" t="s">
        <v>2307</v>
      </c>
      <c r="Q354" s="8" t="s">
        <v>45</v>
      </c>
      <c r="R354" s="10" t="s">
        <v>2308</v>
      </c>
      <c r="S354" s="11"/>
      <c r="T354" s="6"/>
      <c r="U354" s="24" t="str">
        <f>HYPERLINK("https://media.infra-m.ru/2170/2170110/cover/2170110.jpg", "Обложка")</f>
        <v>Обложка</v>
      </c>
      <c r="V354" s="24" t="str">
        <f>HYPERLINK("https://znanium.ru/catalog/product/355435", "Ознакомиться")</f>
        <v>Ознакомиться</v>
      </c>
      <c r="W354" s="8" t="s">
        <v>2309</v>
      </c>
      <c r="X354" s="6"/>
      <c r="Y354" s="6"/>
      <c r="Z354" s="6"/>
      <c r="AA354" s="6" t="s">
        <v>94</v>
      </c>
      <c r="AB354" s="8"/>
    </row>
    <row r="355" spans="1:28" s="4" customFormat="1" ht="51.95" customHeight="1">
      <c r="A355" s="5">
        <v>0</v>
      </c>
      <c r="B355" s="6" t="s">
        <v>2310</v>
      </c>
      <c r="C355" s="7">
        <v>1396.8</v>
      </c>
      <c r="D355" s="8" t="s">
        <v>2311</v>
      </c>
      <c r="E355" s="8" t="s">
        <v>2312</v>
      </c>
      <c r="F355" s="8" t="s">
        <v>1270</v>
      </c>
      <c r="G355" s="6" t="s">
        <v>38</v>
      </c>
      <c r="H355" s="6" t="s">
        <v>39</v>
      </c>
      <c r="I355" s="8" t="s">
        <v>40</v>
      </c>
      <c r="J355" s="9">
        <v>1</v>
      </c>
      <c r="K355" s="9">
        <v>253</v>
      </c>
      <c r="L355" s="9">
        <v>2024</v>
      </c>
      <c r="M355" s="8" t="s">
        <v>2313</v>
      </c>
      <c r="N355" s="8" t="s">
        <v>54</v>
      </c>
      <c r="O355" s="8" t="s">
        <v>91</v>
      </c>
      <c r="P355" s="6" t="s">
        <v>44</v>
      </c>
      <c r="Q355" s="8" t="s">
        <v>45</v>
      </c>
      <c r="R355" s="10" t="s">
        <v>2314</v>
      </c>
      <c r="S355" s="11"/>
      <c r="T355" s="6"/>
      <c r="U355" s="24" t="str">
        <f>HYPERLINK("https://media.infra-m.ru/1904/1904231/cover/1904231.jpg", "Обложка")</f>
        <v>Обложка</v>
      </c>
      <c r="V355" s="24" t="str">
        <f>HYPERLINK("https://znanium.ru/catalog/product/1904231", "Ознакомиться")</f>
        <v>Ознакомиться</v>
      </c>
      <c r="W355" s="8" t="s">
        <v>1273</v>
      </c>
      <c r="X355" s="6"/>
      <c r="Y355" s="6"/>
      <c r="Z355" s="6"/>
      <c r="AA355" s="6" t="s">
        <v>199</v>
      </c>
      <c r="AB355" s="8"/>
    </row>
    <row r="356" spans="1:28" s="4" customFormat="1" ht="42" customHeight="1">
      <c r="A356" s="5">
        <v>0</v>
      </c>
      <c r="B356" s="6" t="s">
        <v>2315</v>
      </c>
      <c r="C356" s="7">
        <v>1752</v>
      </c>
      <c r="D356" s="8" t="s">
        <v>2316</v>
      </c>
      <c r="E356" s="8" t="s">
        <v>2317</v>
      </c>
      <c r="F356" s="8" t="s">
        <v>2318</v>
      </c>
      <c r="G356" s="6" t="s">
        <v>81</v>
      </c>
      <c r="H356" s="6" t="s">
        <v>39</v>
      </c>
      <c r="I356" s="8" t="s">
        <v>40</v>
      </c>
      <c r="J356" s="9">
        <v>1</v>
      </c>
      <c r="K356" s="9">
        <v>325</v>
      </c>
      <c r="L356" s="9">
        <v>2023</v>
      </c>
      <c r="M356" s="8" t="s">
        <v>2319</v>
      </c>
      <c r="N356" s="8" t="s">
        <v>220</v>
      </c>
      <c r="O356" s="8" t="s">
        <v>296</v>
      </c>
      <c r="P356" s="6" t="s">
        <v>44</v>
      </c>
      <c r="Q356" s="8" t="s">
        <v>45</v>
      </c>
      <c r="R356" s="10" t="s">
        <v>1279</v>
      </c>
      <c r="S356" s="11"/>
      <c r="T356" s="6"/>
      <c r="U356" s="24" t="str">
        <f>HYPERLINK("https://media.infra-m.ru/1938/1938021/cover/1938021.jpg", "Обложка")</f>
        <v>Обложка</v>
      </c>
      <c r="V356" s="24" t="str">
        <f>HYPERLINK("https://znanium.ru/catalog/product/1938021", "Ознакомиться")</f>
        <v>Ознакомиться</v>
      </c>
      <c r="W356" s="8" t="s">
        <v>2320</v>
      </c>
      <c r="X356" s="6"/>
      <c r="Y356" s="6"/>
      <c r="Z356" s="6"/>
      <c r="AA356" s="6" t="s">
        <v>424</v>
      </c>
      <c r="AB356" s="8"/>
    </row>
    <row r="357" spans="1:28" s="4" customFormat="1" ht="42" customHeight="1">
      <c r="A357" s="5">
        <v>0</v>
      </c>
      <c r="B357" s="6" t="s">
        <v>2321</v>
      </c>
      <c r="C357" s="7">
        <v>1308</v>
      </c>
      <c r="D357" s="8" t="s">
        <v>2322</v>
      </c>
      <c r="E357" s="8" t="s">
        <v>2323</v>
      </c>
      <c r="F357" s="8" t="s">
        <v>2318</v>
      </c>
      <c r="G357" s="6" t="s">
        <v>81</v>
      </c>
      <c r="H357" s="6" t="s">
        <v>39</v>
      </c>
      <c r="I357" s="8" t="s">
        <v>40</v>
      </c>
      <c r="J357" s="9">
        <v>1</v>
      </c>
      <c r="K357" s="9">
        <v>310</v>
      </c>
      <c r="L357" s="9">
        <v>2020</v>
      </c>
      <c r="M357" s="8" t="s">
        <v>2324</v>
      </c>
      <c r="N357" s="8" t="s">
        <v>220</v>
      </c>
      <c r="O357" s="8" t="s">
        <v>296</v>
      </c>
      <c r="P357" s="6" t="s">
        <v>44</v>
      </c>
      <c r="Q357" s="8" t="s">
        <v>45</v>
      </c>
      <c r="R357" s="10" t="s">
        <v>1279</v>
      </c>
      <c r="S357" s="11"/>
      <c r="T357" s="6"/>
      <c r="U357" s="24" t="str">
        <f>HYPERLINK("https://media.infra-m.ru/1053/1053658/cover/1053658.jpg", "Обложка")</f>
        <v>Обложка</v>
      </c>
      <c r="V357" s="24" t="str">
        <f>HYPERLINK("https://znanium.ru/catalog/product/1938021", "Ознакомиться")</f>
        <v>Ознакомиться</v>
      </c>
      <c r="W357" s="8" t="s">
        <v>2320</v>
      </c>
      <c r="X357" s="6"/>
      <c r="Y357" s="6"/>
      <c r="Z357" s="6"/>
      <c r="AA357" s="6" t="s">
        <v>68</v>
      </c>
      <c r="AB357" s="8"/>
    </row>
    <row r="358" spans="1:28" s="4" customFormat="1" ht="51.95" customHeight="1">
      <c r="A358" s="5">
        <v>0</v>
      </c>
      <c r="B358" s="6" t="s">
        <v>2325</v>
      </c>
      <c r="C358" s="7">
        <v>1404</v>
      </c>
      <c r="D358" s="8" t="s">
        <v>2326</v>
      </c>
      <c r="E358" s="8" t="s">
        <v>2327</v>
      </c>
      <c r="F358" s="8" t="s">
        <v>2328</v>
      </c>
      <c r="G358" s="6" t="s">
        <v>132</v>
      </c>
      <c r="H358" s="6" t="s">
        <v>39</v>
      </c>
      <c r="I358" s="8" t="s">
        <v>40</v>
      </c>
      <c r="J358" s="9">
        <v>1</v>
      </c>
      <c r="K358" s="9">
        <v>227</v>
      </c>
      <c r="L358" s="9">
        <v>2025</v>
      </c>
      <c r="M358" s="8" t="s">
        <v>2329</v>
      </c>
      <c r="N358" s="8" t="s">
        <v>54</v>
      </c>
      <c r="O358" s="8" t="s">
        <v>55</v>
      </c>
      <c r="P358" s="6" t="s">
        <v>44</v>
      </c>
      <c r="Q358" s="8" t="s">
        <v>45</v>
      </c>
      <c r="R358" s="10" t="s">
        <v>2330</v>
      </c>
      <c r="S358" s="11"/>
      <c r="T358" s="6"/>
      <c r="U358" s="24" t="str">
        <f>HYPERLINK("https://media.infra-m.ru/2131/2131275/cover/2131275.jpg", "Обложка")</f>
        <v>Обложка</v>
      </c>
      <c r="V358" s="24" t="str">
        <f>HYPERLINK("https://znanium.ru/catalog/product/2131275", "Ознакомиться")</f>
        <v>Ознакомиться</v>
      </c>
      <c r="W358" s="8" t="s">
        <v>223</v>
      </c>
      <c r="X358" s="6"/>
      <c r="Y358" s="6"/>
      <c r="Z358" s="6"/>
      <c r="AA358" s="6" t="s">
        <v>159</v>
      </c>
      <c r="AB358" s="8" t="s">
        <v>2331</v>
      </c>
    </row>
    <row r="359" spans="1:28" s="4" customFormat="1" ht="51.95" customHeight="1">
      <c r="A359" s="5">
        <v>0</v>
      </c>
      <c r="B359" s="6" t="s">
        <v>2332</v>
      </c>
      <c r="C359" s="7">
        <v>1048.8</v>
      </c>
      <c r="D359" s="8" t="s">
        <v>2333</v>
      </c>
      <c r="E359" s="8" t="s">
        <v>2334</v>
      </c>
      <c r="F359" s="8" t="s">
        <v>2335</v>
      </c>
      <c r="G359" s="6" t="s">
        <v>38</v>
      </c>
      <c r="H359" s="6" t="s">
        <v>39</v>
      </c>
      <c r="I359" s="8" t="s">
        <v>336</v>
      </c>
      <c r="J359" s="9">
        <v>1</v>
      </c>
      <c r="K359" s="9">
        <v>168</v>
      </c>
      <c r="L359" s="9">
        <v>2026</v>
      </c>
      <c r="M359" s="8" t="s">
        <v>2336</v>
      </c>
      <c r="N359" s="8" t="s">
        <v>42</v>
      </c>
      <c r="O359" s="8" t="s">
        <v>101</v>
      </c>
      <c r="P359" s="6" t="s">
        <v>1195</v>
      </c>
      <c r="Q359" s="8" t="s">
        <v>45</v>
      </c>
      <c r="R359" s="10" t="s">
        <v>2337</v>
      </c>
      <c r="S359" s="11"/>
      <c r="T359" s="6"/>
      <c r="U359" s="24" t="str">
        <f>HYPERLINK("https://media.infra-m.ru/2219/2219576/cover/2219576.jpg", "Обложка")</f>
        <v>Обложка</v>
      </c>
      <c r="V359" s="24" t="str">
        <f>HYPERLINK("https://znanium.ru/catalog/product/2124765", "Ознакомиться")</f>
        <v>Ознакомиться</v>
      </c>
      <c r="W359" s="8" t="s">
        <v>305</v>
      </c>
      <c r="X359" s="6"/>
      <c r="Y359" s="6" t="s">
        <v>30</v>
      </c>
      <c r="Z359" s="6"/>
      <c r="AA359" s="6" t="s">
        <v>339</v>
      </c>
      <c r="AB359" s="8"/>
    </row>
    <row r="360" spans="1:28" s="4" customFormat="1" ht="44.1" customHeight="1">
      <c r="A360" s="5">
        <v>0</v>
      </c>
      <c r="B360" s="6" t="s">
        <v>2338</v>
      </c>
      <c r="C360" s="13">
        <v>840</v>
      </c>
      <c r="D360" s="8" t="s">
        <v>2339</v>
      </c>
      <c r="E360" s="8" t="s">
        <v>2340</v>
      </c>
      <c r="F360" s="8" t="s">
        <v>2341</v>
      </c>
      <c r="G360" s="6" t="s">
        <v>38</v>
      </c>
      <c r="H360" s="6" t="s">
        <v>39</v>
      </c>
      <c r="I360" s="8" t="s">
        <v>2342</v>
      </c>
      <c r="J360" s="9">
        <v>1</v>
      </c>
      <c r="K360" s="9">
        <v>179</v>
      </c>
      <c r="L360" s="9">
        <v>2022</v>
      </c>
      <c r="M360" s="8" t="s">
        <v>2343</v>
      </c>
      <c r="N360" s="8" t="s">
        <v>42</v>
      </c>
      <c r="O360" s="8" t="s">
        <v>189</v>
      </c>
      <c r="P360" s="6" t="s">
        <v>44</v>
      </c>
      <c r="Q360" s="8" t="s">
        <v>45</v>
      </c>
      <c r="R360" s="10" t="s">
        <v>2344</v>
      </c>
      <c r="S360" s="11"/>
      <c r="T360" s="6"/>
      <c r="U360" s="24" t="str">
        <f>HYPERLINK("https://media.infra-m.ru/1854/1854747/cover/1854747.jpg", "Обложка")</f>
        <v>Обложка</v>
      </c>
      <c r="V360" s="24" t="str">
        <f>HYPERLINK("https://znanium.ru/catalog/product/1854747", "Ознакомиться")</f>
        <v>Ознакомиться</v>
      </c>
      <c r="W360" s="8" t="s">
        <v>232</v>
      </c>
      <c r="X360" s="6"/>
      <c r="Y360" s="6"/>
      <c r="Z360" s="6"/>
      <c r="AA360" s="6" t="s">
        <v>76</v>
      </c>
      <c r="AB360" s="8"/>
    </row>
    <row r="361" spans="1:28" s="4" customFormat="1" ht="51.95" customHeight="1">
      <c r="A361" s="5">
        <v>0</v>
      </c>
      <c r="B361" s="6" t="s">
        <v>2345</v>
      </c>
      <c r="C361" s="7">
        <v>1296</v>
      </c>
      <c r="D361" s="8" t="s">
        <v>2346</v>
      </c>
      <c r="E361" s="8" t="s">
        <v>2347</v>
      </c>
      <c r="F361" s="8" t="s">
        <v>2348</v>
      </c>
      <c r="G361" s="6" t="s">
        <v>81</v>
      </c>
      <c r="H361" s="6" t="s">
        <v>99</v>
      </c>
      <c r="I361" s="8"/>
      <c r="J361" s="9">
        <v>1</v>
      </c>
      <c r="K361" s="9">
        <v>216</v>
      </c>
      <c r="L361" s="9">
        <v>2025</v>
      </c>
      <c r="M361" s="8" t="s">
        <v>2349</v>
      </c>
      <c r="N361" s="8" t="s">
        <v>220</v>
      </c>
      <c r="O361" s="8" t="s">
        <v>221</v>
      </c>
      <c r="P361" s="6" t="s">
        <v>286</v>
      </c>
      <c r="Q361" s="8" t="s">
        <v>416</v>
      </c>
      <c r="R361" s="10" t="s">
        <v>680</v>
      </c>
      <c r="S361" s="11"/>
      <c r="T361" s="6"/>
      <c r="U361" s="24" t="str">
        <f>HYPERLINK("https://media.infra-m.ru/2165/2165225/cover/2165225.jpg", "Обложка")</f>
        <v>Обложка</v>
      </c>
      <c r="V361" s="24" t="str">
        <f>HYPERLINK("https://znanium.ru/catalog/product/2165225", "Ознакомиться")</f>
        <v>Ознакомиться</v>
      </c>
      <c r="W361" s="8" t="s">
        <v>516</v>
      </c>
      <c r="X361" s="6"/>
      <c r="Y361" s="6"/>
      <c r="Z361" s="6"/>
      <c r="AA361" s="6" t="s">
        <v>424</v>
      </c>
      <c r="AB361" s="8"/>
    </row>
    <row r="362" spans="1:28" s="4" customFormat="1" ht="51.95" customHeight="1">
      <c r="A362" s="5">
        <v>0</v>
      </c>
      <c r="B362" s="6" t="s">
        <v>2350</v>
      </c>
      <c r="C362" s="13">
        <v>708</v>
      </c>
      <c r="D362" s="8" t="s">
        <v>2351</v>
      </c>
      <c r="E362" s="8" t="s">
        <v>2352</v>
      </c>
      <c r="F362" s="8" t="s">
        <v>2348</v>
      </c>
      <c r="G362" s="6" t="s">
        <v>38</v>
      </c>
      <c r="H362" s="6" t="s">
        <v>99</v>
      </c>
      <c r="I362" s="8"/>
      <c r="J362" s="9">
        <v>1</v>
      </c>
      <c r="K362" s="9">
        <v>144</v>
      </c>
      <c r="L362" s="9">
        <v>2021</v>
      </c>
      <c r="M362" s="8" t="s">
        <v>2353</v>
      </c>
      <c r="N362" s="8" t="s">
        <v>220</v>
      </c>
      <c r="O362" s="8" t="s">
        <v>221</v>
      </c>
      <c r="P362" s="6" t="s">
        <v>286</v>
      </c>
      <c r="Q362" s="8" t="s">
        <v>416</v>
      </c>
      <c r="R362" s="10" t="s">
        <v>680</v>
      </c>
      <c r="S362" s="11"/>
      <c r="T362" s="6"/>
      <c r="U362" s="24" t="str">
        <f>HYPERLINK("https://media.infra-m.ru/1353/1353632/cover/1353632.jpg", "Обложка")</f>
        <v>Обложка</v>
      </c>
      <c r="V362" s="24" t="str">
        <f>HYPERLINK("https://znanium.ru/catalog/product/2165225", "Ознакомиться")</f>
        <v>Ознакомиться</v>
      </c>
      <c r="W362" s="8" t="s">
        <v>516</v>
      </c>
      <c r="X362" s="6"/>
      <c r="Y362" s="6"/>
      <c r="Z362" s="6"/>
      <c r="AA362" s="6" t="s">
        <v>339</v>
      </c>
      <c r="AB362" s="8"/>
    </row>
    <row r="363" spans="1:28" s="4" customFormat="1" ht="42" customHeight="1">
      <c r="A363" s="5">
        <v>0</v>
      </c>
      <c r="B363" s="6" t="s">
        <v>2354</v>
      </c>
      <c r="C363" s="13">
        <v>780</v>
      </c>
      <c r="D363" s="8" t="s">
        <v>2355</v>
      </c>
      <c r="E363" s="8" t="s">
        <v>2356</v>
      </c>
      <c r="F363" s="8" t="s">
        <v>2357</v>
      </c>
      <c r="G363" s="6" t="s">
        <v>38</v>
      </c>
      <c r="H363" s="6" t="s">
        <v>39</v>
      </c>
      <c r="I363" s="8" t="s">
        <v>40</v>
      </c>
      <c r="J363" s="9">
        <v>1</v>
      </c>
      <c r="K363" s="9">
        <v>117</v>
      </c>
      <c r="L363" s="9">
        <v>2025</v>
      </c>
      <c r="M363" s="8" t="s">
        <v>2358</v>
      </c>
      <c r="N363" s="8" t="s">
        <v>42</v>
      </c>
      <c r="O363" s="8" t="s">
        <v>65</v>
      </c>
      <c r="P363" s="6" t="s">
        <v>44</v>
      </c>
      <c r="Q363" s="8" t="s">
        <v>45</v>
      </c>
      <c r="R363" s="10" t="s">
        <v>1772</v>
      </c>
      <c r="S363" s="11"/>
      <c r="T363" s="6"/>
      <c r="U363" s="24" t="str">
        <f>HYPERLINK("https://media.infra-m.ru/2188/2188196/cover/2188196.jpg", "Обложка")</f>
        <v>Обложка</v>
      </c>
      <c r="V363" s="24" t="str">
        <f>HYPERLINK("https://znanium.ru/catalog/product/2188196", "Ознакомиться")</f>
        <v>Ознакомиться</v>
      </c>
      <c r="W363" s="8" t="s">
        <v>846</v>
      </c>
      <c r="X363" s="6"/>
      <c r="Y363" s="6"/>
      <c r="Z363" s="6"/>
      <c r="AA363" s="6" t="s">
        <v>339</v>
      </c>
      <c r="AB363" s="8"/>
    </row>
    <row r="364" spans="1:28" s="4" customFormat="1" ht="51.95" customHeight="1">
      <c r="A364" s="5">
        <v>0</v>
      </c>
      <c r="B364" s="6" t="s">
        <v>2359</v>
      </c>
      <c r="C364" s="7">
        <v>1620</v>
      </c>
      <c r="D364" s="8" t="s">
        <v>2360</v>
      </c>
      <c r="E364" s="8" t="s">
        <v>2361</v>
      </c>
      <c r="F364" s="8" t="s">
        <v>2362</v>
      </c>
      <c r="G364" s="6" t="s">
        <v>38</v>
      </c>
      <c r="H364" s="6" t="s">
        <v>39</v>
      </c>
      <c r="I364" s="8" t="s">
        <v>40</v>
      </c>
      <c r="J364" s="9">
        <v>1</v>
      </c>
      <c r="K364" s="9">
        <v>343</v>
      </c>
      <c r="L364" s="9">
        <v>2022</v>
      </c>
      <c r="M364" s="8" t="s">
        <v>2363</v>
      </c>
      <c r="N364" s="8" t="s">
        <v>42</v>
      </c>
      <c r="O364" s="8" t="s">
        <v>43</v>
      </c>
      <c r="P364" s="6" t="s">
        <v>44</v>
      </c>
      <c r="Q364" s="8" t="s">
        <v>45</v>
      </c>
      <c r="R364" s="10" t="s">
        <v>2364</v>
      </c>
      <c r="S364" s="11"/>
      <c r="T364" s="6"/>
      <c r="U364" s="24" t="str">
        <f>HYPERLINK("https://media.infra-m.ru/1740/1740251/cover/1740251.jpg", "Обложка")</f>
        <v>Обложка</v>
      </c>
      <c r="V364" s="24" t="str">
        <f>HYPERLINK("https://znanium.ru/catalog/product/1740251", "Ознакомиться")</f>
        <v>Ознакомиться</v>
      </c>
      <c r="W364" s="8" t="s">
        <v>491</v>
      </c>
      <c r="X364" s="6"/>
      <c r="Y364" s="6"/>
      <c r="Z364" s="6"/>
      <c r="AA364" s="6" t="s">
        <v>111</v>
      </c>
      <c r="AB364" s="8"/>
    </row>
    <row r="365" spans="1:28" s="4" customFormat="1" ht="42" customHeight="1">
      <c r="A365" s="5">
        <v>0</v>
      </c>
      <c r="B365" s="6" t="s">
        <v>2365</v>
      </c>
      <c r="C365" s="7">
        <v>1293.5999999999999</v>
      </c>
      <c r="D365" s="8" t="s">
        <v>2366</v>
      </c>
      <c r="E365" s="8" t="s">
        <v>2367</v>
      </c>
      <c r="F365" s="8" t="s">
        <v>2368</v>
      </c>
      <c r="G365" s="6" t="s">
        <v>38</v>
      </c>
      <c r="H365" s="6" t="s">
        <v>99</v>
      </c>
      <c r="I365" s="8"/>
      <c r="J365" s="9">
        <v>1</v>
      </c>
      <c r="K365" s="9">
        <v>352</v>
      </c>
      <c r="L365" s="9">
        <v>2024</v>
      </c>
      <c r="M365" s="8" t="s">
        <v>2369</v>
      </c>
      <c r="N365" s="8" t="s">
        <v>54</v>
      </c>
      <c r="O365" s="8" t="s">
        <v>91</v>
      </c>
      <c r="P365" s="6" t="s">
        <v>44</v>
      </c>
      <c r="Q365" s="8" t="s">
        <v>45</v>
      </c>
      <c r="R365" s="10" t="s">
        <v>2370</v>
      </c>
      <c r="S365" s="11"/>
      <c r="T365" s="6"/>
      <c r="U365" s="24" t="str">
        <f>HYPERLINK("https://media.infra-m.ru/2123/2123354/cover/2123354.jpg", "Обложка")</f>
        <v>Обложка</v>
      </c>
      <c r="V365" s="24" t="str">
        <f>HYPERLINK("https://znanium.ru/catalog/product/1865725", "Ознакомиться")</f>
        <v>Ознакомиться</v>
      </c>
      <c r="W365" s="8" t="s">
        <v>418</v>
      </c>
      <c r="X365" s="6"/>
      <c r="Y365" s="6"/>
      <c r="Z365" s="6"/>
      <c r="AA365" s="6" t="s">
        <v>1556</v>
      </c>
      <c r="AB365" s="8"/>
    </row>
    <row r="366" spans="1:28" s="4" customFormat="1" ht="51.95" customHeight="1">
      <c r="A366" s="5">
        <v>0</v>
      </c>
      <c r="B366" s="6" t="s">
        <v>2371</v>
      </c>
      <c r="C366" s="7">
        <v>3192</v>
      </c>
      <c r="D366" s="8" t="s">
        <v>2372</v>
      </c>
      <c r="E366" s="8" t="s">
        <v>2373</v>
      </c>
      <c r="F366" s="8" t="s">
        <v>2374</v>
      </c>
      <c r="G366" s="6" t="s">
        <v>38</v>
      </c>
      <c r="H366" s="6" t="s">
        <v>39</v>
      </c>
      <c r="I366" s="8" t="s">
        <v>828</v>
      </c>
      <c r="J366" s="9">
        <v>1</v>
      </c>
      <c r="K366" s="9">
        <v>652</v>
      </c>
      <c r="L366" s="9">
        <v>2023</v>
      </c>
      <c r="M366" s="8" t="s">
        <v>2375</v>
      </c>
      <c r="N366" s="8" t="s">
        <v>54</v>
      </c>
      <c r="O366" s="8" t="s">
        <v>55</v>
      </c>
      <c r="P366" s="6" t="s">
        <v>659</v>
      </c>
      <c r="Q366" s="8" t="s">
        <v>1152</v>
      </c>
      <c r="R366" s="10" t="s">
        <v>2376</v>
      </c>
      <c r="S366" s="11"/>
      <c r="T366" s="6"/>
      <c r="U366" s="24" t="str">
        <f>HYPERLINK("https://media.infra-m.ru/1979/1979144/cover/1979144.jpg", "Обложка")</f>
        <v>Обложка</v>
      </c>
      <c r="V366" s="24" t="str">
        <f>HYPERLINK("https://znanium.ru/catalog/product/1979144", "Ознакомиться")</f>
        <v>Ознакомиться</v>
      </c>
      <c r="W366" s="8" t="s">
        <v>2377</v>
      </c>
      <c r="X366" s="6"/>
      <c r="Y366" s="6"/>
      <c r="Z366" s="6"/>
      <c r="AA366" s="6" t="s">
        <v>127</v>
      </c>
      <c r="AB366" s="8"/>
    </row>
    <row r="367" spans="1:28" s="4" customFormat="1" ht="42" customHeight="1">
      <c r="A367" s="5">
        <v>0</v>
      </c>
      <c r="B367" s="6" t="s">
        <v>2378</v>
      </c>
      <c r="C367" s="7">
        <v>3096</v>
      </c>
      <c r="D367" s="8" t="s">
        <v>2379</v>
      </c>
      <c r="E367" s="8" t="s">
        <v>2380</v>
      </c>
      <c r="F367" s="8" t="s">
        <v>2374</v>
      </c>
      <c r="G367" s="6" t="s">
        <v>38</v>
      </c>
      <c r="H367" s="6" t="s">
        <v>39</v>
      </c>
      <c r="I367" s="8" t="s">
        <v>828</v>
      </c>
      <c r="J367" s="9">
        <v>1</v>
      </c>
      <c r="K367" s="9">
        <v>631</v>
      </c>
      <c r="L367" s="9">
        <v>2023</v>
      </c>
      <c r="M367" s="8" t="s">
        <v>2381</v>
      </c>
      <c r="N367" s="8" t="s">
        <v>54</v>
      </c>
      <c r="O367" s="8" t="s">
        <v>55</v>
      </c>
      <c r="P367" s="6" t="s">
        <v>659</v>
      </c>
      <c r="Q367" s="8" t="s">
        <v>45</v>
      </c>
      <c r="R367" s="10" t="s">
        <v>823</v>
      </c>
      <c r="S367" s="11"/>
      <c r="T367" s="6"/>
      <c r="U367" s="24" t="str">
        <f>HYPERLINK("https://media.infra-m.ru/1979/1979146/cover/1979146.jpg", "Обложка")</f>
        <v>Обложка</v>
      </c>
      <c r="V367" s="24" t="str">
        <f>HYPERLINK("https://znanium.ru/catalog/product/1979146", "Ознакомиться")</f>
        <v>Ознакомиться</v>
      </c>
      <c r="W367" s="8" t="s">
        <v>2377</v>
      </c>
      <c r="X367" s="6"/>
      <c r="Y367" s="6"/>
      <c r="Z367" s="6"/>
      <c r="AA367" s="6" t="s">
        <v>127</v>
      </c>
      <c r="AB367" s="8"/>
    </row>
    <row r="368" spans="1:28" s="4" customFormat="1" ht="51.95" customHeight="1">
      <c r="A368" s="5">
        <v>0</v>
      </c>
      <c r="B368" s="6" t="s">
        <v>2382</v>
      </c>
      <c r="C368" s="7">
        <v>3036</v>
      </c>
      <c r="D368" s="8" t="s">
        <v>2383</v>
      </c>
      <c r="E368" s="8" t="s">
        <v>2373</v>
      </c>
      <c r="F368" s="8" t="s">
        <v>2374</v>
      </c>
      <c r="G368" s="6" t="s">
        <v>38</v>
      </c>
      <c r="H368" s="6" t="s">
        <v>39</v>
      </c>
      <c r="I368" s="8" t="s">
        <v>828</v>
      </c>
      <c r="J368" s="9">
        <v>1</v>
      </c>
      <c r="K368" s="9">
        <v>621</v>
      </c>
      <c r="L368" s="9">
        <v>2023</v>
      </c>
      <c r="M368" s="8" t="s">
        <v>2384</v>
      </c>
      <c r="N368" s="8" t="s">
        <v>54</v>
      </c>
      <c r="O368" s="8" t="s">
        <v>55</v>
      </c>
      <c r="P368" s="6" t="s">
        <v>659</v>
      </c>
      <c r="Q368" s="8" t="s">
        <v>45</v>
      </c>
      <c r="R368" s="10" t="s">
        <v>2376</v>
      </c>
      <c r="S368" s="11"/>
      <c r="T368" s="6"/>
      <c r="U368" s="24" t="str">
        <f>HYPERLINK("https://media.infra-m.ru/1979/1979145/cover/1979145.jpg", "Обложка")</f>
        <v>Обложка</v>
      </c>
      <c r="V368" s="24" t="str">
        <f>HYPERLINK("https://znanium.ru/catalog/product/1979145", "Ознакомиться")</f>
        <v>Ознакомиться</v>
      </c>
      <c r="W368" s="8" t="s">
        <v>2377</v>
      </c>
      <c r="X368" s="6"/>
      <c r="Y368" s="6"/>
      <c r="Z368" s="6"/>
      <c r="AA368" s="6" t="s">
        <v>127</v>
      </c>
      <c r="AB368" s="8"/>
    </row>
    <row r="369" spans="1:28" s="4" customFormat="1" ht="42" customHeight="1">
      <c r="A369" s="5">
        <v>0</v>
      </c>
      <c r="B369" s="6" t="s">
        <v>2385</v>
      </c>
      <c r="C369" s="7">
        <v>1344</v>
      </c>
      <c r="D369" s="8" t="s">
        <v>2386</v>
      </c>
      <c r="E369" s="8" t="s">
        <v>2387</v>
      </c>
      <c r="F369" s="8" t="s">
        <v>2388</v>
      </c>
      <c r="G369" s="6" t="s">
        <v>81</v>
      </c>
      <c r="H369" s="6" t="s">
        <v>39</v>
      </c>
      <c r="I369" s="8" t="s">
        <v>828</v>
      </c>
      <c r="J369" s="9">
        <v>1</v>
      </c>
      <c r="K369" s="9">
        <v>247</v>
      </c>
      <c r="L369" s="9">
        <v>2023</v>
      </c>
      <c r="M369" s="8" t="s">
        <v>2389</v>
      </c>
      <c r="N369" s="8" t="s">
        <v>42</v>
      </c>
      <c r="O369" s="8" t="s">
        <v>1035</v>
      </c>
      <c r="P369" s="6" t="s">
        <v>659</v>
      </c>
      <c r="Q369" s="8" t="s">
        <v>287</v>
      </c>
      <c r="R369" s="10" t="s">
        <v>2390</v>
      </c>
      <c r="S369" s="11"/>
      <c r="T369" s="6"/>
      <c r="U369" s="24" t="str">
        <f>HYPERLINK("https://media.infra-m.ru/2019/2019765/cover/2019765.jpg", "Обложка")</f>
        <v>Обложка</v>
      </c>
      <c r="V369" s="24" t="str">
        <f>HYPERLINK("https://znanium.ru/catalog/product/2019765", "Ознакомиться")</f>
        <v>Ознакомиться</v>
      </c>
      <c r="W369" s="8" t="s">
        <v>2391</v>
      </c>
      <c r="X369" s="6"/>
      <c r="Y369" s="6"/>
      <c r="Z369" s="6"/>
      <c r="AA369" s="6" t="s">
        <v>76</v>
      </c>
      <c r="AB369" s="8"/>
    </row>
    <row r="370" spans="1:28" s="4" customFormat="1" ht="51.95" customHeight="1">
      <c r="A370" s="5">
        <v>0</v>
      </c>
      <c r="B370" s="6" t="s">
        <v>2392</v>
      </c>
      <c r="C370" s="7">
        <v>1740</v>
      </c>
      <c r="D370" s="8" t="s">
        <v>2393</v>
      </c>
      <c r="E370" s="8" t="s">
        <v>2394</v>
      </c>
      <c r="F370" s="8" t="s">
        <v>2395</v>
      </c>
      <c r="G370" s="6" t="s">
        <v>81</v>
      </c>
      <c r="H370" s="6" t="s">
        <v>182</v>
      </c>
      <c r="I370" s="8"/>
      <c r="J370" s="9">
        <v>1</v>
      </c>
      <c r="K370" s="9">
        <v>290</v>
      </c>
      <c r="L370" s="9">
        <v>2025</v>
      </c>
      <c r="M370" s="8" t="s">
        <v>2396</v>
      </c>
      <c r="N370" s="8" t="s">
        <v>42</v>
      </c>
      <c r="O370" s="8" t="s">
        <v>65</v>
      </c>
      <c r="P370" s="6" t="s">
        <v>44</v>
      </c>
      <c r="Q370" s="8" t="s">
        <v>45</v>
      </c>
      <c r="R370" s="10" t="s">
        <v>2397</v>
      </c>
      <c r="S370" s="11"/>
      <c r="T370" s="6"/>
      <c r="U370" s="24" t="str">
        <f>HYPERLINK("https://media.infra-m.ru/2155/2155756/cover/2155756.jpg", "Обложка")</f>
        <v>Обложка</v>
      </c>
      <c r="V370" s="24" t="str">
        <f>HYPERLINK("https://znanium.ru/catalog/product/2155756", "Ознакомиться")</f>
        <v>Ознакомиться</v>
      </c>
      <c r="W370" s="8" t="s">
        <v>2398</v>
      </c>
      <c r="X370" s="6"/>
      <c r="Y370" s="6"/>
      <c r="Z370" s="6"/>
      <c r="AA370" s="6" t="s">
        <v>68</v>
      </c>
      <c r="AB370" s="8"/>
    </row>
    <row r="371" spans="1:28" s="4" customFormat="1" ht="51.95" customHeight="1">
      <c r="A371" s="5">
        <v>0</v>
      </c>
      <c r="B371" s="6" t="s">
        <v>2399</v>
      </c>
      <c r="C371" s="13">
        <v>924</v>
      </c>
      <c r="D371" s="8" t="s">
        <v>2400</v>
      </c>
      <c r="E371" s="8" t="s">
        <v>2401</v>
      </c>
      <c r="F371" s="8" t="s">
        <v>2123</v>
      </c>
      <c r="G371" s="6" t="s">
        <v>38</v>
      </c>
      <c r="H371" s="6" t="s">
        <v>39</v>
      </c>
      <c r="I371" s="8" t="s">
        <v>40</v>
      </c>
      <c r="J371" s="9">
        <v>1</v>
      </c>
      <c r="K371" s="9">
        <v>176</v>
      </c>
      <c r="L371" s="9">
        <v>2022</v>
      </c>
      <c r="M371" s="8" t="s">
        <v>2402</v>
      </c>
      <c r="N371" s="8" t="s">
        <v>42</v>
      </c>
      <c r="O371" s="8" t="s">
        <v>101</v>
      </c>
      <c r="P371" s="6" t="s">
        <v>44</v>
      </c>
      <c r="Q371" s="8" t="s">
        <v>45</v>
      </c>
      <c r="R371" s="10" t="s">
        <v>2403</v>
      </c>
      <c r="S371" s="11"/>
      <c r="T371" s="6"/>
      <c r="U371" s="24" t="str">
        <f>HYPERLINK("https://media.infra-m.ru/1844/1844179/cover/1844179.jpg", "Обложка")</f>
        <v>Обложка</v>
      </c>
      <c r="V371" s="24" t="str">
        <f>HYPERLINK("https://znanium.ru/catalog/product/1844179", "Ознакомиться")</f>
        <v>Ознакомиться</v>
      </c>
      <c r="W371" s="8" t="s">
        <v>937</v>
      </c>
      <c r="X371" s="6"/>
      <c r="Y371" s="6"/>
      <c r="Z371" s="6"/>
      <c r="AA371" s="6" t="s">
        <v>111</v>
      </c>
      <c r="AB371" s="8"/>
    </row>
    <row r="372" spans="1:28" s="4" customFormat="1" ht="51.95" customHeight="1">
      <c r="A372" s="5">
        <v>0</v>
      </c>
      <c r="B372" s="6" t="s">
        <v>2404</v>
      </c>
      <c r="C372" s="13">
        <v>648</v>
      </c>
      <c r="D372" s="8" t="s">
        <v>2405</v>
      </c>
      <c r="E372" s="8" t="s">
        <v>2406</v>
      </c>
      <c r="F372" s="8" t="s">
        <v>2407</v>
      </c>
      <c r="G372" s="6" t="s">
        <v>132</v>
      </c>
      <c r="H372" s="6" t="s">
        <v>39</v>
      </c>
      <c r="I372" s="8" t="s">
        <v>40</v>
      </c>
      <c r="J372" s="9">
        <v>1</v>
      </c>
      <c r="K372" s="9">
        <v>154</v>
      </c>
      <c r="L372" s="9">
        <v>2020</v>
      </c>
      <c r="M372" s="8" t="s">
        <v>2408</v>
      </c>
      <c r="N372" s="8" t="s">
        <v>42</v>
      </c>
      <c r="O372" s="8" t="s">
        <v>246</v>
      </c>
      <c r="P372" s="6" t="s">
        <v>44</v>
      </c>
      <c r="Q372" s="8" t="s">
        <v>45</v>
      </c>
      <c r="R372" s="10" t="s">
        <v>2409</v>
      </c>
      <c r="S372" s="11"/>
      <c r="T372" s="6"/>
      <c r="U372" s="24" t="str">
        <f>HYPERLINK("https://media.infra-m.ru/1069/1069031/cover/1069031.jpg", "Обложка")</f>
        <v>Обложка</v>
      </c>
      <c r="V372" s="24" t="str">
        <f>HYPERLINK("https://znanium.ru/catalog/product/1069031", "Ознакомиться")</f>
        <v>Ознакомиться</v>
      </c>
      <c r="W372" s="8" t="s">
        <v>1861</v>
      </c>
      <c r="X372" s="6"/>
      <c r="Y372" s="6"/>
      <c r="Z372" s="6"/>
      <c r="AA372" s="6" t="s">
        <v>369</v>
      </c>
      <c r="AB372" s="8"/>
    </row>
    <row r="373" spans="1:28" s="4" customFormat="1" ht="42" customHeight="1">
      <c r="A373" s="5">
        <v>0</v>
      </c>
      <c r="B373" s="6" t="s">
        <v>2410</v>
      </c>
      <c r="C373" s="13">
        <v>677.9</v>
      </c>
      <c r="D373" s="8" t="s">
        <v>2411</v>
      </c>
      <c r="E373" s="8" t="s">
        <v>2412</v>
      </c>
      <c r="F373" s="8" t="s">
        <v>2413</v>
      </c>
      <c r="G373" s="6" t="s">
        <v>132</v>
      </c>
      <c r="H373" s="6" t="s">
        <v>39</v>
      </c>
      <c r="I373" s="8" t="s">
        <v>344</v>
      </c>
      <c r="J373" s="9">
        <v>1</v>
      </c>
      <c r="K373" s="9">
        <v>160</v>
      </c>
      <c r="L373" s="9">
        <v>2020</v>
      </c>
      <c r="M373" s="8" t="s">
        <v>2414</v>
      </c>
      <c r="N373" s="8" t="s">
        <v>42</v>
      </c>
      <c r="O373" s="8" t="s">
        <v>246</v>
      </c>
      <c r="P373" s="6" t="s">
        <v>44</v>
      </c>
      <c r="Q373" s="8" t="s">
        <v>45</v>
      </c>
      <c r="R373" s="10"/>
      <c r="S373" s="11"/>
      <c r="T373" s="6"/>
      <c r="U373" s="24" t="str">
        <f>HYPERLINK("https://media.infra-m.ru/1044/1044618/cover/1044618.jpg", "Обложка")</f>
        <v>Обложка</v>
      </c>
      <c r="V373" s="12"/>
      <c r="W373" s="8" t="s">
        <v>346</v>
      </c>
      <c r="X373" s="6"/>
      <c r="Y373" s="6"/>
      <c r="Z373" s="6"/>
      <c r="AA373" s="6" t="s">
        <v>68</v>
      </c>
      <c r="AB373" s="8"/>
    </row>
    <row r="374" spans="1:28" s="4" customFormat="1" ht="44.1" customHeight="1">
      <c r="A374" s="5">
        <v>0</v>
      </c>
      <c r="B374" s="6" t="s">
        <v>2415</v>
      </c>
      <c r="C374" s="7">
        <v>1012.8</v>
      </c>
      <c r="D374" s="8" t="s">
        <v>2416</v>
      </c>
      <c r="E374" s="8" t="s">
        <v>2417</v>
      </c>
      <c r="F374" s="8" t="s">
        <v>2418</v>
      </c>
      <c r="G374" s="6" t="s">
        <v>132</v>
      </c>
      <c r="H374" s="6" t="s">
        <v>99</v>
      </c>
      <c r="I374" s="8"/>
      <c r="J374" s="9">
        <v>1</v>
      </c>
      <c r="K374" s="9">
        <v>192</v>
      </c>
      <c r="L374" s="9">
        <v>2024</v>
      </c>
      <c r="M374" s="8" t="s">
        <v>2419</v>
      </c>
      <c r="N374" s="8" t="s">
        <v>42</v>
      </c>
      <c r="O374" s="8" t="s">
        <v>101</v>
      </c>
      <c r="P374" s="6" t="s">
        <v>44</v>
      </c>
      <c r="Q374" s="8" t="s">
        <v>1152</v>
      </c>
      <c r="R374" s="10" t="s">
        <v>564</v>
      </c>
      <c r="S374" s="11"/>
      <c r="T374" s="6"/>
      <c r="U374" s="24" t="str">
        <f>HYPERLINK("https://media.infra-m.ru/1892/1892268/cover/1892268.jpg", "Обложка")</f>
        <v>Обложка</v>
      </c>
      <c r="V374" s="24" t="str">
        <f>HYPERLINK("https://znanium.ru/catalog/product/1850141", "Ознакомиться")</f>
        <v>Ознакомиться</v>
      </c>
      <c r="W374" s="8" t="s">
        <v>565</v>
      </c>
      <c r="X374" s="6"/>
      <c r="Y374" s="6"/>
      <c r="Z374" s="6"/>
      <c r="AA374" s="6" t="s">
        <v>290</v>
      </c>
      <c r="AB374" s="8"/>
    </row>
    <row r="375" spans="1:28" s="4" customFormat="1" ht="44.1" customHeight="1">
      <c r="A375" s="5">
        <v>0</v>
      </c>
      <c r="B375" s="6" t="s">
        <v>2420</v>
      </c>
      <c r="C375" s="7">
        <v>1248</v>
      </c>
      <c r="D375" s="8" t="s">
        <v>2421</v>
      </c>
      <c r="E375" s="8" t="s">
        <v>2422</v>
      </c>
      <c r="F375" s="8" t="s">
        <v>2423</v>
      </c>
      <c r="G375" s="6" t="s">
        <v>81</v>
      </c>
      <c r="H375" s="6" t="s">
        <v>39</v>
      </c>
      <c r="I375" s="8" t="s">
        <v>40</v>
      </c>
      <c r="J375" s="9">
        <v>1</v>
      </c>
      <c r="K375" s="9">
        <v>260</v>
      </c>
      <c r="L375" s="9">
        <v>2021</v>
      </c>
      <c r="M375" s="8" t="s">
        <v>2424</v>
      </c>
      <c r="N375" s="8" t="s">
        <v>42</v>
      </c>
      <c r="O375" s="8" t="s">
        <v>65</v>
      </c>
      <c r="P375" s="6" t="s">
        <v>44</v>
      </c>
      <c r="Q375" s="8" t="s">
        <v>45</v>
      </c>
      <c r="R375" s="10" t="s">
        <v>190</v>
      </c>
      <c r="S375" s="11"/>
      <c r="T375" s="6"/>
      <c r="U375" s="24" t="str">
        <f>HYPERLINK("https://media.infra-m.ru/1570/1570138/cover/1570138.jpg", "Обложка")</f>
        <v>Обложка</v>
      </c>
      <c r="V375" s="24" t="str">
        <f>HYPERLINK("https://znanium.ru/catalog/product/1098273", "Ознакомиться")</f>
        <v>Ознакомиться</v>
      </c>
      <c r="W375" s="8"/>
      <c r="X375" s="6"/>
      <c r="Y375" s="6"/>
      <c r="Z375" s="6"/>
      <c r="AA375" s="6" t="s">
        <v>199</v>
      </c>
      <c r="AB375" s="8"/>
    </row>
    <row r="376" spans="1:28" s="4" customFormat="1" ht="51.95" customHeight="1">
      <c r="A376" s="5">
        <v>0</v>
      </c>
      <c r="B376" s="6" t="s">
        <v>2425</v>
      </c>
      <c r="C376" s="7">
        <v>1085.9000000000001</v>
      </c>
      <c r="D376" s="8" t="s">
        <v>2426</v>
      </c>
      <c r="E376" s="8" t="s">
        <v>2427</v>
      </c>
      <c r="F376" s="8" t="s">
        <v>2428</v>
      </c>
      <c r="G376" s="6" t="s">
        <v>132</v>
      </c>
      <c r="H376" s="6" t="s">
        <v>39</v>
      </c>
      <c r="I376" s="8" t="s">
        <v>40</v>
      </c>
      <c r="J376" s="9">
        <v>1</v>
      </c>
      <c r="K376" s="9">
        <v>200</v>
      </c>
      <c r="L376" s="9">
        <v>2023</v>
      </c>
      <c r="M376" s="8" t="s">
        <v>2429</v>
      </c>
      <c r="N376" s="8" t="s">
        <v>42</v>
      </c>
      <c r="O376" s="8" t="s">
        <v>101</v>
      </c>
      <c r="P376" s="6" t="s">
        <v>44</v>
      </c>
      <c r="Q376" s="8" t="s">
        <v>45</v>
      </c>
      <c r="R376" s="10" t="s">
        <v>2430</v>
      </c>
      <c r="S376" s="11"/>
      <c r="T376" s="6"/>
      <c r="U376" s="24" t="str">
        <f>HYPERLINK("https://media.infra-m.ru/2045/2045845/cover/2045845.jpg", "Обложка")</f>
        <v>Обложка</v>
      </c>
      <c r="V376" s="24" t="str">
        <f>HYPERLINK("https://znanium.ru/catalog/product/2045845", "Ознакомиться")</f>
        <v>Ознакомиться</v>
      </c>
      <c r="W376" s="8" t="s">
        <v>937</v>
      </c>
      <c r="X376" s="6"/>
      <c r="Y376" s="6"/>
      <c r="Z376" s="6"/>
      <c r="AA376" s="6" t="s">
        <v>168</v>
      </c>
      <c r="AB376" s="8"/>
    </row>
    <row r="377" spans="1:28" s="4" customFormat="1" ht="44.1" customHeight="1">
      <c r="A377" s="5">
        <v>0</v>
      </c>
      <c r="B377" s="6" t="s">
        <v>2431</v>
      </c>
      <c r="C377" s="13">
        <v>424.8</v>
      </c>
      <c r="D377" s="8" t="s">
        <v>2432</v>
      </c>
      <c r="E377" s="8" t="s">
        <v>2433</v>
      </c>
      <c r="F377" s="8" t="s">
        <v>2434</v>
      </c>
      <c r="G377" s="6" t="s">
        <v>38</v>
      </c>
      <c r="H377" s="6" t="s">
        <v>182</v>
      </c>
      <c r="I377" s="8" t="s">
        <v>40</v>
      </c>
      <c r="J377" s="9">
        <v>1</v>
      </c>
      <c r="K377" s="9">
        <v>99</v>
      </c>
      <c r="L377" s="9">
        <v>2018</v>
      </c>
      <c r="M377" s="8" t="s">
        <v>2435</v>
      </c>
      <c r="N377" s="8" t="s">
        <v>42</v>
      </c>
      <c r="O377" s="8" t="s">
        <v>101</v>
      </c>
      <c r="P377" s="6" t="s">
        <v>44</v>
      </c>
      <c r="Q377" s="8" t="s">
        <v>1152</v>
      </c>
      <c r="R377" s="10" t="s">
        <v>2287</v>
      </c>
      <c r="S377" s="11"/>
      <c r="T377" s="6"/>
      <c r="U377" s="24" t="str">
        <f>HYPERLINK("https://media.infra-m.ru/0966/0966070/cover/966070.jpg", "Обложка")</f>
        <v>Обложка</v>
      </c>
      <c r="V377" s="24" t="str">
        <f>HYPERLINK("https://znanium.ru/catalog/product/2185416", "Ознакомиться")</f>
        <v>Ознакомиться</v>
      </c>
      <c r="W377" s="8" t="s">
        <v>2436</v>
      </c>
      <c r="X377" s="6"/>
      <c r="Y377" s="6"/>
      <c r="Z377" s="6"/>
      <c r="AA377" s="6" t="s">
        <v>536</v>
      </c>
      <c r="AB377" s="8"/>
    </row>
    <row r="378" spans="1:28" s="4" customFormat="1" ht="44.1" customHeight="1">
      <c r="A378" s="5">
        <v>0</v>
      </c>
      <c r="B378" s="6" t="s">
        <v>2437</v>
      </c>
      <c r="C378" s="13">
        <v>864</v>
      </c>
      <c r="D378" s="8" t="s">
        <v>2438</v>
      </c>
      <c r="E378" s="8" t="s">
        <v>2439</v>
      </c>
      <c r="F378" s="8" t="s">
        <v>2434</v>
      </c>
      <c r="G378" s="6" t="s">
        <v>38</v>
      </c>
      <c r="H378" s="6" t="s">
        <v>182</v>
      </c>
      <c r="I378" s="8" t="s">
        <v>40</v>
      </c>
      <c r="J378" s="9">
        <v>1</v>
      </c>
      <c r="K378" s="9">
        <v>121</v>
      </c>
      <c r="L378" s="9">
        <v>2026</v>
      </c>
      <c r="M378" s="8" t="s">
        <v>2440</v>
      </c>
      <c r="N378" s="8" t="s">
        <v>42</v>
      </c>
      <c r="O378" s="8" t="s">
        <v>101</v>
      </c>
      <c r="P378" s="6" t="s">
        <v>44</v>
      </c>
      <c r="Q378" s="8" t="s">
        <v>1152</v>
      </c>
      <c r="R378" s="10" t="s">
        <v>2287</v>
      </c>
      <c r="S378" s="11"/>
      <c r="T378" s="6"/>
      <c r="U378" s="24" t="str">
        <f>HYPERLINK("https://media.infra-m.ru/2185/2185416/cover/2185416.jpg", "Обложка")</f>
        <v>Обложка</v>
      </c>
      <c r="V378" s="24" t="str">
        <f>HYPERLINK("https://znanium.ru/catalog/product/2185416", "Ознакомиться")</f>
        <v>Ознакомиться</v>
      </c>
      <c r="W378" s="8" t="s">
        <v>2436</v>
      </c>
      <c r="X378" s="6" t="s">
        <v>838</v>
      </c>
      <c r="Y378" s="6"/>
      <c r="Z378" s="6"/>
      <c r="AA378" s="6" t="s">
        <v>2441</v>
      </c>
      <c r="AB378" s="8"/>
    </row>
    <row r="379" spans="1:28" s="4" customFormat="1" ht="51.95" customHeight="1">
      <c r="A379" s="5">
        <v>0</v>
      </c>
      <c r="B379" s="6" t="s">
        <v>2442</v>
      </c>
      <c r="C379" s="7">
        <v>1188</v>
      </c>
      <c r="D379" s="8" t="s">
        <v>2443</v>
      </c>
      <c r="E379" s="8" t="s">
        <v>2444</v>
      </c>
      <c r="F379" s="8" t="s">
        <v>2445</v>
      </c>
      <c r="G379" s="6" t="s">
        <v>81</v>
      </c>
      <c r="H379" s="6" t="s">
        <v>39</v>
      </c>
      <c r="I379" s="8" t="s">
        <v>40</v>
      </c>
      <c r="J379" s="9">
        <v>1</v>
      </c>
      <c r="K379" s="9">
        <v>190</v>
      </c>
      <c r="L379" s="9">
        <v>2025</v>
      </c>
      <c r="M379" s="8" t="s">
        <v>2446</v>
      </c>
      <c r="N379" s="8" t="s">
        <v>42</v>
      </c>
      <c r="O379" s="8" t="s">
        <v>101</v>
      </c>
      <c r="P379" s="6" t="s">
        <v>44</v>
      </c>
      <c r="Q379" s="8" t="s">
        <v>45</v>
      </c>
      <c r="R379" s="10" t="s">
        <v>2447</v>
      </c>
      <c r="S379" s="11"/>
      <c r="T379" s="6"/>
      <c r="U379" s="24" t="str">
        <f>HYPERLINK("https://media.infra-m.ru/2208/2208468/cover/2208468.jpg", "Обложка")</f>
        <v>Обложка</v>
      </c>
      <c r="V379" s="24" t="str">
        <f>HYPERLINK("https://znanium.ru/catalog/product/2208468", "Ознакомиться")</f>
        <v>Ознакомиться</v>
      </c>
      <c r="W379" s="8" t="s">
        <v>2448</v>
      </c>
      <c r="X379" s="6"/>
      <c r="Y379" s="6"/>
      <c r="Z379" s="6"/>
      <c r="AA379" s="6" t="s">
        <v>68</v>
      </c>
      <c r="AB379" s="8"/>
    </row>
    <row r="380" spans="1:28" s="4" customFormat="1" ht="51.95" customHeight="1">
      <c r="A380" s="5">
        <v>0</v>
      </c>
      <c r="B380" s="6" t="s">
        <v>2449</v>
      </c>
      <c r="C380" s="13">
        <v>744</v>
      </c>
      <c r="D380" s="8" t="s">
        <v>2450</v>
      </c>
      <c r="E380" s="8" t="s">
        <v>2451</v>
      </c>
      <c r="F380" s="8" t="s">
        <v>2452</v>
      </c>
      <c r="G380" s="6" t="s">
        <v>38</v>
      </c>
      <c r="H380" s="6" t="s">
        <v>39</v>
      </c>
      <c r="I380" s="8" t="s">
        <v>40</v>
      </c>
      <c r="J380" s="9">
        <v>1</v>
      </c>
      <c r="K380" s="9">
        <v>178</v>
      </c>
      <c r="L380" s="9">
        <v>2018</v>
      </c>
      <c r="M380" s="8" t="s">
        <v>2453</v>
      </c>
      <c r="N380" s="8" t="s">
        <v>42</v>
      </c>
      <c r="O380" s="8" t="s">
        <v>189</v>
      </c>
      <c r="P380" s="6" t="s">
        <v>44</v>
      </c>
      <c r="Q380" s="8" t="s">
        <v>287</v>
      </c>
      <c r="R380" s="10" t="s">
        <v>2454</v>
      </c>
      <c r="S380" s="11"/>
      <c r="T380" s="6"/>
      <c r="U380" s="24" t="str">
        <f>HYPERLINK("https://media.infra-m.ru/0973/0973383/cover/973383.jpg", "Обложка")</f>
        <v>Обложка</v>
      </c>
      <c r="V380" s="24" t="str">
        <f>HYPERLINK("https://znanium.ru/catalog/product/973383", "Ознакомиться")</f>
        <v>Ознакомиться</v>
      </c>
      <c r="W380" s="8" t="s">
        <v>167</v>
      </c>
      <c r="X380" s="6"/>
      <c r="Y380" s="6"/>
      <c r="Z380" s="6"/>
      <c r="AA380" s="6" t="s">
        <v>339</v>
      </c>
      <c r="AB380" s="8"/>
    </row>
    <row r="381" spans="1:28" s="4" customFormat="1" ht="42" customHeight="1">
      <c r="A381" s="5">
        <v>0</v>
      </c>
      <c r="B381" s="6" t="s">
        <v>2455</v>
      </c>
      <c r="C381" s="7">
        <v>1260</v>
      </c>
      <c r="D381" s="8" t="s">
        <v>2456</v>
      </c>
      <c r="E381" s="8" t="s">
        <v>2457</v>
      </c>
      <c r="F381" s="8" t="s">
        <v>2458</v>
      </c>
      <c r="G381" s="6" t="s">
        <v>38</v>
      </c>
      <c r="H381" s="6" t="s">
        <v>39</v>
      </c>
      <c r="I381" s="8" t="s">
        <v>40</v>
      </c>
      <c r="J381" s="9">
        <v>1</v>
      </c>
      <c r="K381" s="9">
        <v>222</v>
      </c>
      <c r="L381" s="9">
        <v>2024</v>
      </c>
      <c r="M381" s="8" t="s">
        <v>2459</v>
      </c>
      <c r="N381" s="8" t="s">
        <v>42</v>
      </c>
      <c r="O381" s="8" t="s">
        <v>1035</v>
      </c>
      <c r="P381" s="6" t="s">
        <v>44</v>
      </c>
      <c r="Q381" s="8" t="s">
        <v>45</v>
      </c>
      <c r="R381" s="10" t="s">
        <v>2460</v>
      </c>
      <c r="S381" s="11"/>
      <c r="T381" s="6"/>
      <c r="U381" s="24" t="str">
        <f>HYPERLINK("https://media.infra-m.ru/2032/2032519/cover/2032519.jpg", "Обложка")</f>
        <v>Обложка</v>
      </c>
      <c r="V381" s="24" t="str">
        <f>HYPERLINK("https://znanium.ru/catalog/product/2032519", "Ознакомиться")</f>
        <v>Ознакомиться</v>
      </c>
      <c r="W381" s="8" t="s">
        <v>167</v>
      </c>
      <c r="X381" s="6"/>
      <c r="Y381" s="6"/>
      <c r="Z381" s="6"/>
      <c r="AA381" s="6" t="s">
        <v>58</v>
      </c>
      <c r="AB381" s="8"/>
    </row>
    <row r="382" spans="1:28" s="4" customFormat="1" ht="51.95" customHeight="1">
      <c r="A382" s="5">
        <v>0</v>
      </c>
      <c r="B382" s="6" t="s">
        <v>2461</v>
      </c>
      <c r="C382" s="7">
        <v>1996.8</v>
      </c>
      <c r="D382" s="8" t="s">
        <v>2462</v>
      </c>
      <c r="E382" s="8" t="s">
        <v>2463</v>
      </c>
      <c r="F382" s="8" t="s">
        <v>2464</v>
      </c>
      <c r="G382" s="6" t="s">
        <v>81</v>
      </c>
      <c r="H382" s="6" t="s">
        <v>2052</v>
      </c>
      <c r="I382" s="8"/>
      <c r="J382" s="9">
        <v>1</v>
      </c>
      <c r="K382" s="9">
        <v>316</v>
      </c>
      <c r="L382" s="9">
        <v>2025</v>
      </c>
      <c r="M382" s="8" t="s">
        <v>2465</v>
      </c>
      <c r="N382" s="8" t="s">
        <v>42</v>
      </c>
      <c r="O382" s="8" t="s">
        <v>101</v>
      </c>
      <c r="P382" s="6" t="s">
        <v>44</v>
      </c>
      <c r="Q382" s="8" t="s">
        <v>45</v>
      </c>
      <c r="R382" s="10" t="s">
        <v>2466</v>
      </c>
      <c r="S382" s="11"/>
      <c r="T382" s="6"/>
      <c r="U382" s="24" t="str">
        <f>HYPERLINK("https://media.infra-m.ru/2203/2203674/cover/2203674.jpg", "Обложка")</f>
        <v>Обложка</v>
      </c>
      <c r="V382" s="24" t="str">
        <f>HYPERLINK("https://znanium.ru/catalog/product/1937183", "Ознакомиться")</f>
        <v>Ознакомиться</v>
      </c>
      <c r="W382" s="8" t="s">
        <v>803</v>
      </c>
      <c r="X382" s="6"/>
      <c r="Y382" s="6"/>
      <c r="Z382" s="6"/>
      <c r="AA382" s="6" t="s">
        <v>369</v>
      </c>
      <c r="AB382" s="8"/>
    </row>
    <row r="383" spans="1:28" s="4" customFormat="1" ht="42" customHeight="1">
      <c r="A383" s="5">
        <v>0</v>
      </c>
      <c r="B383" s="6" t="s">
        <v>2467</v>
      </c>
      <c r="C383" s="7">
        <v>1008</v>
      </c>
      <c r="D383" s="8" t="s">
        <v>2468</v>
      </c>
      <c r="E383" s="8" t="s">
        <v>2469</v>
      </c>
      <c r="F383" s="8" t="s">
        <v>2470</v>
      </c>
      <c r="G383" s="6" t="s">
        <v>38</v>
      </c>
      <c r="H383" s="6" t="s">
        <v>39</v>
      </c>
      <c r="I383" s="8" t="s">
        <v>40</v>
      </c>
      <c r="J383" s="9">
        <v>1</v>
      </c>
      <c r="K383" s="9">
        <v>156</v>
      </c>
      <c r="L383" s="9">
        <v>2025</v>
      </c>
      <c r="M383" s="8" t="s">
        <v>2471</v>
      </c>
      <c r="N383" s="8" t="s">
        <v>42</v>
      </c>
      <c r="O383" s="8" t="s">
        <v>246</v>
      </c>
      <c r="P383" s="6" t="s">
        <v>44</v>
      </c>
      <c r="Q383" s="8" t="s">
        <v>45</v>
      </c>
      <c r="R383" s="10" t="s">
        <v>2472</v>
      </c>
      <c r="S383" s="11"/>
      <c r="T383" s="6"/>
      <c r="U383" s="24" t="str">
        <f>HYPERLINK("https://media.infra-m.ru/2207/2207060/cover/2207060.jpg", "Обложка")</f>
        <v>Обложка</v>
      </c>
      <c r="V383" s="24" t="str">
        <f>HYPERLINK("https://znanium.ru/catalog/product/2207060", "Ознакомиться")</f>
        <v>Ознакомиться</v>
      </c>
      <c r="W383" s="8" t="s">
        <v>2473</v>
      </c>
      <c r="X383" s="6"/>
      <c r="Y383" s="6"/>
      <c r="Z383" s="6"/>
      <c r="AA383" s="6" t="s">
        <v>68</v>
      </c>
      <c r="AB383" s="8"/>
    </row>
    <row r="384" spans="1:28" s="4" customFormat="1" ht="42" customHeight="1">
      <c r="A384" s="5">
        <v>0</v>
      </c>
      <c r="B384" s="6" t="s">
        <v>2474</v>
      </c>
      <c r="C384" s="13">
        <v>564</v>
      </c>
      <c r="D384" s="8" t="s">
        <v>2475</v>
      </c>
      <c r="E384" s="8" t="s">
        <v>2476</v>
      </c>
      <c r="F384" s="8" t="s">
        <v>2477</v>
      </c>
      <c r="G384" s="6" t="s">
        <v>38</v>
      </c>
      <c r="H384" s="6" t="s">
        <v>39</v>
      </c>
      <c r="I384" s="8" t="s">
        <v>40</v>
      </c>
      <c r="J384" s="9">
        <v>1</v>
      </c>
      <c r="K384" s="9">
        <v>122</v>
      </c>
      <c r="L384" s="9">
        <v>2022</v>
      </c>
      <c r="M384" s="8" t="s">
        <v>2478</v>
      </c>
      <c r="N384" s="8" t="s">
        <v>42</v>
      </c>
      <c r="O384" s="8" t="s">
        <v>189</v>
      </c>
      <c r="P384" s="6" t="s">
        <v>44</v>
      </c>
      <c r="Q384" s="8" t="s">
        <v>45</v>
      </c>
      <c r="R384" s="10" t="s">
        <v>1028</v>
      </c>
      <c r="S384" s="11"/>
      <c r="T384" s="6" t="s">
        <v>1080</v>
      </c>
      <c r="U384" s="24" t="str">
        <f>HYPERLINK("https://media.infra-m.ru/1850/1850397/cover/1850397.jpg", "Обложка")</f>
        <v>Обложка</v>
      </c>
      <c r="V384" s="24" t="str">
        <f>HYPERLINK("https://znanium.ru/catalog/product/1850397", "Ознакомиться")</f>
        <v>Ознакомиться</v>
      </c>
      <c r="W384" s="8" t="s">
        <v>167</v>
      </c>
      <c r="X384" s="6"/>
      <c r="Y384" s="6"/>
      <c r="Z384" s="6"/>
      <c r="AA384" s="6" t="s">
        <v>369</v>
      </c>
      <c r="AB384" s="8"/>
    </row>
    <row r="385" spans="1:28" s="4" customFormat="1" ht="44.1" customHeight="1">
      <c r="A385" s="5">
        <v>0</v>
      </c>
      <c r="B385" s="6" t="s">
        <v>2479</v>
      </c>
      <c r="C385" s="13">
        <v>984</v>
      </c>
      <c r="D385" s="8" t="s">
        <v>2480</v>
      </c>
      <c r="E385" s="8" t="s">
        <v>2481</v>
      </c>
      <c r="F385" s="8" t="s">
        <v>2482</v>
      </c>
      <c r="G385" s="6" t="s">
        <v>38</v>
      </c>
      <c r="H385" s="6" t="s">
        <v>39</v>
      </c>
      <c r="I385" s="8" t="s">
        <v>164</v>
      </c>
      <c r="J385" s="9">
        <v>1</v>
      </c>
      <c r="K385" s="9">
        <v>181</v>
      </c>
      <c r="L385" s="9">
        <v>2023</v>
      </c>
      <c r="M385" s="8" t="s">
        <v>2483</v>
      </c>
      <c r="N385" s="8" t="s">
        <v>42</v>
      </c>
      <c r="O385" s="8" t="s">
        <v>101</v>
      </c>
      <c r="P385" s="6" t="s">
        <v>44</v>
      </c>
      <c r="Q385" s="8" t="s">
        <v>45</v>
      </c>
      <c r="R385" s="10" t="s">
        <v>2484</v>
      </c>
      <c r="S385" s="11"/>
      <c r="T385" s="6"/>
      <c r="U385" s="24" t="str">
        <f>HYPERLINK("https://media.infra-m.ru/2023/2023957/cover/2023957.jpg", "Обложка")</f>
        <v>Обложка</v>
      </c>
      <c r="V385" s="24" t="str">
        <f>HYPERLINK("https://znanium.ru/catalog/product/2023957", "Ознакомиться")</f>
        <v>Ознакомиться</v>
      </c>
      <c r="W385" s="8" t="s">
        <v>167</v>
      </c>
      <c r="X385" s="6"/>
      <c r="Y385" s="6"/>
      <c r="Z385" s="6"/>
      <c r="AA385" s="6" t="s">
        <v>76</v>
      </c>
      <c r="AB385" s="8"/>
    </row>
    <row r="386" spans="1:28" s="4" customFormat="1" ht="42" customHeight="1">
      <c r="A386" s="5">
        <v>0</v>
      </c>
      <c r="B386" s="6" t="s">
        <v>2485</v>
      </c>
      <c r="C386" s="7">
        <v>1020</v>
      </c>
      <c r="D386" s="8" t="s">
        <v>2486</v>
      </c>
      <c r="E386" s="8" t="s">
        <v>2487</v>
      </c>
      <c r="F386" s="8" t="s">
        <v>2488</v>
      </c>
      <c r="G386" s="6" t="s">
        <v>81</v>
      </c>
      <c r="H386" s="6" t="s">
        <v>99</v>
      </c>
      <c r="I386" s="8"/>
      <c r="J386" s="9">
        <v>1</v>
      </c>
      <c r="K386" s="9">
        <v>176</v>
      </c>
      <c r="L386" s="9">
        <v>2023</v>
      </c>
      <c r="M386" s="8" t="s">
        <v>2489</v>
      </c>
      <c r="N386" s="8" t="s">
        <v>42</v>
      </c>
      <c r="O386" s="8" t="s">
        <v>246</v>
      </c>
      <c r="P386" s="6" t="s">
        <v>44</v>
      </c>
      <c r="Q386" s="8" t="s">
        <v>45</v>
      </c>
      <c r="R386" s="10" t="s">
        <v>2490</v>
      </c>
      <c r="S386" s="11"/>
      <c r="T386" s="6"/>
      <c r="U386" s="24" t="str">
        <f>HYPERLINK("https://media.infra-m.ru/1977/1977972/cover/1977972.jpg", "Обложка")</f>
        <v>Обложка</v>
      </c>
      <c r="V386" s="24" t="str">
        <f>HYPERLINK("https://znanium.ru/catalog/product/1977972", "Ознакомиться")</f>
        <v>Ознакомиться</v>
      </c>
      <c r="W386" s="8" t="s">
        <v>2491</v>
      </c>
      <c r="X386" s="6"/>
      <c r="Y386" s="6"/>
      <c r="Z386" s="6"/>
      <c r="AA386" s="6" t="s">
        <v>168</v>
      </c>
      <c r="AB386" s="8"/>
    </row>
    <row r="387" spans="1:28" s="4" customFormat="1" ht="51.95" customHeight="1">
      <c r="A387" s="5">
        <v>0</v>
      </c>
      <c r="B387" s="6" t="s">
        <v>2492</v>
      </c>
      <c r="C387" s="13">
        <v>984</v>
      </c>
      <c r="D387" s="8" t="s">
        <v>2493</v>
      </c>
      <c r="E387" s="8" t="s">
        <v>2494</v>
      </c>
      <c r="F387" s="8" t="s">
        <v>2495</v>
      </c>
      <c r="G387" s="6" t="s">
        <v>38</v>
      </c>
      <c r="H387" s="6" t="s">
        <v>39</v>
      </c>
      <c r="I387" s="8" t="s">
        <v>40</v>
      </c>
      <c r="J387" s="9">
        <v>1</v>
      </c>
      <c r="K387" s="9">
        <v>157</v>
      </c>
      <c r="L387" s="9">
        <v>2024</v>
      </c>
      <c r="M387" s="8" t="s">
        <v>2496</v>
      </c>
      <c r="N387" s="8" t="s">
        <v>42</v>
      </c>
      <c r="O387" s="8" t="s">
        <v>101</v>
      </c>
      <c r="P387" s="6" t="s">
        <v>44</v>
      </c>
      <c r="Q387" s="8" t="s">
        <v>45</v>
      </c>
      <c r="R387" s="10" t="s">
        <v>390</v>
      </c>
      <c r="S387" s="11"/>
      <c r="T387" s="6"/>
      <c r="U387" s="24" t="str">
        <f>HYPERLINK("https://media.infra-m.ru/2131/2131415/cover/2131415.jpg", "Обложка")</f>
        <v>Обложка</v>
      </c>
      <c r="V387" s="24" t="str">
        <f>HYPERLINK("https://znanium.ru/catalog/product/2131415", "Ознакомиться")</f>
        <v>Ознакомиться</v>
      </c>
      <c r="W387" s="8" t="s">
        <v>2497</v>
      </c>
      <c r="X387" s="6"/>
      <c r="Y387" s="6"/>
      <c r="Z387" s="6"/>
      <c r="AA387" s="6" t="s">
        <v>119</v>
      </c>
      <c r="AB387" s="8"/>
    </row>
    <row r="388" spans="1:28" s="4" customFormat="1" ht="42" customHeight="1">
      <c r="A388" s="5">
        <v>0</v>
      </c>
      <c r="B388" s="6" t="s">
        <v>2498</v>
      </c>
      <c r="C388" s="7">
        <v>1824</v>
      </c>
      <c r="D388" s="8" t="s">
        <v>2499</v>
      </c>
      <c r="E388" s="8" t="s">
        <v>2500</v>
      </c>
      <c r="F388" s="8" t="s">
        <v>2501</v>
      </c>
      <c r="G388" s="6" t="s">
        <v>38</v>
      </c>
      <c r="H388" s="6" t="s">
        <v>39</v>
      </c>
      <c r="I388" s="8" t="s">
        <v>40</v>
      </c>
      <c r="J388" s="9">
        <v>1</v>
      </c>
      <c r="K388" s="9">
        <v>331</v>
      </c>
      <c r="L388" s="9">
        <v>2024</v>
      </c>
      <c r="M388" s="8" t="s">
        <v>2502</v>
      </c>
      <c r="N388" s="8" t="s">
        <v>42</v>
      </c>
      <c r="O388" s="8" t="s">
        <v>189</v>
      </c>
      <c r="P388" s="6" t="s">
        <v>44</v>
      </c>
      <c r="Q388" s="8" t="s">
        <v>45</v>
      </c>
      <c r="R388" s="10" t="s">
        <v>2503</v>
      </c>
      <c r="S388" s="11"/>
      <c r="T388" s="6"/>
      <c r="U388" s="24" t="str">
        <f>HYPERLINK("https://media.infra-m.ru/1846/1846002/cover/1846002.jpg", "Обложка")</f>
        <v>Обложка</v>
      </c>
      <c r="V388" s="24" t="str">
        <f>HYPERLINK("https://znanium.ru/catalog/product/1846002", "Ознакомиться")</f>
        <v>Ознакомиться</v>
      </c>
      <c r="W388" s="8" t="s">
        <v>223</v>
      </c>
      <c r="X388" s="6"/>
      <c r="Y388" s="6"/>
      <c r="Z388" s="6"/>
      <c r="AA388" s="6" t="s">
        <v>241</v>
      </c>
      <c r="AB388" s="8"/>
    </row>
    <row r="389" spans="1:28" s="4" customFormat="1" ht="42" customHeight="1">
      <c r="A389" s="5">
        <v>0</v>
      </c>
      <c r="B389" s="6" t="s">
        <v>2504</v>
      </c>
      <c r="C389" s="7">
        <v>1637.9</v>
      </c>
      <c r="D389" s="8" t="s">
        <v>2505</v>
      </c>
      <c r="E389" s="8" t="s">
        <v>2506</v>
      </c>
      <c r="F389" s="8" t="s">
        <v>2507</v>
      </c>
      <c r="G389" s="6" t="s">
        <v>81</v>
      </c>
      <c r="H389" s="6" t="s">
        <v>39</v>
      </c>
      <c r="I389" s="8" t="s">
        <v>40</v>
      </c>
      <c r="J389" s="9">
        <v>1</v>
      </c>
      <c r="K389" s="9">
        <v>304</v>
      </c>
      <c r="L389" s="9">
        <v>2023</v>
      </c>
      <c r="M389" s="8" t="s">
        <v>2508</v>
      </c>
      <c r="N389" s="8" t="s">
        <v>42</v>
      </c>
      <c r="O389" s="8" t="s">
        <v>246</v>
      </c>
      <c r="P389" s="6" t="s">
        <v>44</v>
      </c>
      <c r="Q389" s="8" t="s">
        <v>45</v>
      </c>
      <c r="R389" s="10" t="s">
        <v>2509</v>
      </c>
      <c r="S389" s="11"/>
      <c r="T389" s="6"/>
      <c r="U389" s="24" t="str">
        <f>HYPERLINK("https://media.infra-m.ru/2002/2002614/cover/2002614.jpg", "Обложка")</f>
        <v>Обложка</v>
      </c>
      <c r="V389" s="24" t="str">
        <f>HYPERLINK("https://znanium.ru/catalog/product/1039273", "Ознакомиться")</f>
        <v>Ознакомиться</v>
      </c>
      <c r="W389" s="8" t="s">
        <v>2510</v>
      </c>
      <c r="X389" s="6"/>
      <c r="Y389" s="6"/>
      <c r="Z389" s="6"/>
      <c r="AA389" s="6" t="s">
        <v>369</v>
      </c>
      <c r="AB389" s="8"/>
    </row>
    <row r="390" spans="1:28" s="4" customFormat="1" ht="51.95" customHeight="1">
      <c r="A390" s="5">
        <v>0</v>
      </c>
      <c r="B390" s="6" t="s">
        <v>2511</v>
      </c>
      <c r="C390" s="13">
        <v>780</v>
      </c>
      <c r="D390" s="8" t="s">
        <v>2512</v>
      </c>
      <c r="E390" s="8" t="s">
        <v>2513</v>
      </c>
      <c r="F390" s="8" t="s">
        <v>2514</v>
      </c>
      <c r="G390" s="6" t="s">
        <v>38</v>
      </c>
      <c r="H390" s="6" t="s">
        <v>39</v>
      </c>
      <c r="I390" s="8"/>
      <c r="J390" s="9">
        <v>1</v>
      </c>
      <c r="K390" s="9">
        <v>166</v>
      </c>
      <c r="L390" s="9">
        <v>2022</v>
      </c>
      <c r="M390" s="8" t="s">
        <v>2515</v>
      </c>
      <c r="N390" s="8" t="s">
        <v>42</v>
      </c>
      <c r="O390" s="8" t="s">
        <v>101</v>
      </c>
      <c r="P390" s="6" t="s">
        <v>44</v>
      </c>
      <c r="Q390" s="8" t="s">
        <v>45</v>
      </c>
      <c r="R390" s="10" t="s">
        <v>2516</v>
      </c>
      <c r="S390" s="11"/>
      <c r="T390" s="6"/>
      <c r="U390" s="24" t="str">
        <f>HYPERLINK("https://media.infra-m.ru/1854/1854748/cover/1854748.jpg", "Обложка")</f>
        <v>Обложка</v>
      </c>
      <c r="V390" s="24" t="str">
        <f>HYPERLINK("https://znanium.ru/catalog/product/1854748", "Ознакомиться")</f>
        <v>Ознакомиться</v>
      </c>
      <c r="W390" s="8" t="s">
        <v>418</v>
      </c>
      <c r="X390" s="6"/>
      <c r="Y390" s="6"/>
      <c r="Z390" s="6"/>
      <c r="AA390" s="6" t="s">
        <v>76</v>
      </c>
      <c r="AB390" s="8"/>
    </row>
    <row r="391" spans="1:28" s="4" customFormat="1" ht="42" customHeight="1">
      <c r="A391" s="5">
        <v>0</v>
      </c>
      <c r="B391" s="6" t="s">
        <v>2517</v>
      </c>
      <c r="C391" s="7">
        <v>1068</v>
      </c>
      <c r="D391" s="8" t="s">
        <v>2518</v>
      </c>
      <c r="E391" s="8" t="s">
        <v>2519</v>
      </c>
      <c r="F391" s="8" t="s">
        <v>437</v>
      </c>
      <c r="G391" s="6" t="s">
        <v>81</v>
      </c>
      <c r="H391" s="6" t="s">
        <v>39</v>
      </c>
      <c r="I391" s="8" t="s">
        <v>40</v>
      </c>
      <c r="J391" s="9">
        <v>1</v>
      </c>
      <c r="K391" s="9">
        <v>220</v>
      </c>
      <c r="L391" s="9">
        <v>2022</v>
      </c>
      <c r="M391" s="8" t="s">
        <v>2520</v>
      </c>
      <c r="N391" s="8" t="s">
        <v>42</v>
      </c>
      <c r="O391" s="8" t="s">
        <v>101</v>
      </c>
      <c r="P391" s="6" t="s">
        <v>44</v>
      </c>
      <c r="Q391" s="8" t="s">
        <v>45</v>
      </c>
      <c r="R391" s="10" t="s">
        <v>1765</v>
      </c>
      <c r="S391" s="11"/>
      <c r="T391" s="6"/>
      <c r="U391" s="24" t="str">
        <f>HYPERLINK("https://media.infra-m.ru/1869/1869001/cover/1869001.jpg", "Обложка")</f>
        <v>Обложка</v>
      </c>
      <c r="V391" s="24" t="str">
        <f>HYPERLINK("https://znanium.ru/catalog/product/1869001", "Ознакомиться")</f>
        <v>Ознакомиться</v>
      </c>
      <c r="W391" s="8" t="s">
        <v>361</v>
      </c>
      <c r="X391" s="6"/>
      <c r="Y391" s="6"/>
      <c r="Z391" s="6"/>
      <c r="AA391" s="6" t="s">
        <v>339</v>
      </c>
      <c r="AB391" s="8"/>
    </row>
    <row r="392" spans="1:28" s="4" customFormat="1" ht="51.95" customHeight="1">
      <c r="A392" s="5">
        <v>0</v>
      </c>
      <c r="B392" s="6" t="s">
        <v>2521</v>
      </c>
      <c r="C392" s="7">
        <v>1493.9</v>
      </c>
      <c r="D392" s="8" t="s">
        <v>2522</v>
      </c>
      <c r="E392" s="8" t="s">
        <v>2523</v>
      </c>
      <c r="F392" s="8" t="s">
        <v>2524</v>
      </c>
      <c r="G392" s="6" t="s">
        <v>132</v>
      </c>
      <c r="H392" s="6" t="s">
        <v>39</v>
      </c>
      <c r="I392" s="8"/>
      <c r="J392" s="9">
        <v>1</v>
      </c>
      <c r="K392" s="9">
        <v>320</v>
      </c>
      <c r="L392" s="9">
        <v>2022</v>
      </c>
      <c r="M392" s="8" t="s">
        <v>2525</v>
      </c>
      <c r="N392" s="8" t="s">
        <v>42</v>
      </c>
      <c r="O392" s="8" t="s">
        <v>101</v>
      </c>
      <c r="P392" s="6" t="s">
        <v>44</v>
      </c>
      <c r="Q392" s="8" t="s">
        <v>45</v>
      </c>
      <c r="R392" s="10" t="s">
        <v>2526</v>
      </c>
      <c r="S392" s="11"/>
      <c r="T392" s="6"/>
      <c r="U392" s="24" t="str">
        <f>HYPERLINK("https://media.infra-m.ru/1861/1861796/cover/1861796.jpg", "Обложка")</f>
        <v>Обложка</v>
      </c>
      <c r="V392" s="24" t="str">
        <f>HYPERLINK("https://znanium.ru/catalog/product/1015090", "Ознакомиться")</f>
        <v>Ознакомиться</v>
      </c>
      <c r="W392" s="8" t="s">
        <v>103</v>
      </c>
      <c r="X392" s="6"/>
      <c r="Y392" s="6"/>
      <c r="Z392" s="6"/>
      <c r="AA392" s="6" t="s">
        <v>290</v>
      </c>
      <c r="AB392" s="8"/>
    </row>
    <row r="393" spans="1:28" s="4" customFormat="1" ht="44.1" customHeight="1">
      <c r="A393" s="5">
        <v>0</v>
      </c>
      <c r="B393" s="6" t="s">
        <v>2527</v>
      </c>
      <c r="C393" s="7">
        <v>1476</v>
      </c>
      <c r="D393" s="8" t="s">
        <v>2528</v>
      </c>
      <c r="E393" s="8" t="s">
        <v>2529</v>
      </c>
      <c r="F393" s="8" t="s">
        <v>1830</v>
      </c>
      <c r="G393" s="6" t="s">
        <v>132</v>
      </c>
      <c r="H393" s="6" t="s">
        <v>39</v>
      </c>
      <c r="I393" s="8" t="s">
        <v>40</v>
      </c>
      <c r="J393" s="9">
        <v>1</v>
      </c>
      <c r="K393" s="9">
        <v>314</v>
      </c>
      <c r="L393" s="9">
        <v>2022</v>
      </c>
      <c r="M393" s="8" t="s">
        <v>2530</v>
      </c>
      <c r="N393" s="8" t="s">
        <v>54</v>
      </c>
      <c r="O393" s="8" t="s">
        <v>91</v>
      </c>
      <c r="P393" s="6" t="s">
        <v>44</v>
      </c>
      <c r="Q393" s="8" t="s">
        <v>45</v>
      </c>
      <c r="R393" s="10" t="s">
        <v>2531</v>
      </c>
      <c r="S393" s="11"/>
      <c r="T393" s="6"/>
      <c r="U393" s="24" t="str">
        <f>HYPERLINK("https://media.infra-m.ru/1660/1660953/cover/1660953.jpg", "Обложка")</f>
        <v>Обложка</v>
      </c>
      <c r="V393" s="24" t="str">
        <f>HYPERLINK("https://znanium.ru/catalog/product/1660953", "Ознакомиться")</f>
        <v>Ознакомиться</v>
      </c>
      <c r="W393" s="8" t="s">
        <v>314</v>
      </c>
      <c r="X393" s="6"/>
      <c r="Y393" s="6"/>
      <c r="Z393" s="6"/>
      <c r="AA393" s="6" t="s">
        <v>111</v>
      </c>
      <c r="AB393" s="8"/>
    </row>
    <row r="394" spans="1:28" s="4" customFormat="1" ht="42" customHeight="1">
      <c r="A394" s="5">
        <v>0</v>
      </c>
      <c r="B394" s="6" t="s">
        <v>2532</v>
      </c>
      <c r="C394" s="7">
        <v>1853.9</v>
      </c>
      <c r="D394" s="8" t="s">
        <v>2533</v>
      </c>
      <c r="E394" s="8" t="s">
        <v>2534</v>
      </c>
      <c r="F394" s="8" t="s">
        <v>2535</v>
      </c>
      <c r="G394" s="6" t="s">
        <v>132</v>
      </c>
      <c r="H394" s="6" t="s">
        <v>39</v>
      </c>
      <c r="I394" s="8" t="s">
        <v>164</v>
      </c>
      <c r="J394" s="9">
        <v>1</v>
      </c>
      <c r="K394" s="9">
        <v>343</v>
      </c>
      <c r="L394" s="9">
        <v>2023</v>
      </c>
      <c r="M394" s="8" t="s">
        <v>2536</v>
      </c>
      <c r="N394" s="8" t="s">
        <v>42</v>
      </c>
      <c r="O394" s="8" t="s">
        <v>101</v>
      </c>
      <c r="P394" s="6" t="s">
        <v>44</v>
      </c>
      <c r="Q394" s="8" t="s">
        <v>45</v>
      </c>
      <c r="R394" s="10" t="s">
        <v>1765</v>
      </c>
      <c r="S394" s="11"/>
      <c r="T394" s="6"/>
      <c r="U394" s="24" t="str">
        <f>HYPERLINK("https://media.infra-m.ru/2002/2002635/cover/2002635.jpg", "Обложка")</f>
        <v>Обложка</v>
      </c>
      <c r="V394" s="24" t="str">
        <f>HYPERLINK("https://znanium.ru/catalog/product/1010527", "Ознакомиться")</f>
        <v>Ознакомиться</v>
      </c>
      <c r="W394" s="8" t="s">
        <v>937</v>
      </c>
      <c r="X394" s="6"/>
      <c r="Y394" s="6"/>
      <c r="Z394" s="6"/>
      <c r="AA394" s="6" t="s">
        <v>369</v>
      </c>
      <c r="AB394" s="8"/>
    </row>
    <row r="395" spans="1:28" s="4" customFormat="1" ht="51.95" customHeight="1">
      <c r="A395" s="5">
        <v>0</v>
      </c>
      <c r="B395" s="6" t="s">
        <v>2537</v>
      </c>
      <c r="C395" s="7">
        <v>1968</v>
      </c>
      <c r="D395" s="8" t="s">
        <v>2538</v>
      </c>
      <c r="E395" s="8" t="s">
        <v>2539</v>
      </c>
      <c r="F395" s="8" t="s">
        <v>2540</v>
      </c>
      <c r="G395" s="6" t="s">
        <v>81</v>
      </c>
      <c r="H395" s="6" t="s">
        <v>99</v>
      </c>
      <c r="I395" s="8"/>
      <c r="J395" s="9">
        <v>1</v>
      </c>
      <c r="K395" s="9">
        <v>328</v>
      </c>
      <c r="L395" s="9">
        <v>2025</v>
      </c>
      <c r="M395" s="8" t="s">
        <v>2541</v>
      </c>
      <c r="N395" s="8" t="s">
        <v>42</v>
      </c>
      <c r="O395" s="8" t="s">
        <v>101</v>
      </c>
      <c r="P395" s="6" t="s">
        <v>44</v>
      </c>
      <c r="Q395" s="8" t="s">
        <v>45</v>
      </c>
      <c r="R395" s="10" t="s">
        <v>2542</v>
      </c>
      <c r="S395" s="11"/>
      <c r="T395" s="6"/>
      <c r="U395" s="24" t="str">
        <f>HYPERLINK("https://media.infra-m.ru/2156/2156326/cover/2156326.jpg", "Обложка")</f>
        <v>Обложка</v>
      </c>
      <c r="V395" s="24" t="str">
        <f>HYPERLINK("https://znanium.ru/catalog/product/2156326", "Ознакомиться")</f>
        <v>Ознакомиться</v>
      </c>
      <c r="W395" s="8" t="s">
        <v>103</v>
      </c>
      <c r="X395" s="6"/>
      <c r="Y395" s="6"/>
      <c r="Z395" s="6"/>
      <c r="AA395" s="6" t="s">
        <v>127</v>
      </c>
      <c r="AB395" s="8"/>
    </row>
    <row r="396" spans="1:28" s="4" customFormat="1" ht="51.95" customHeight="1">
      <c r="A396" s="5">
        <v>0</v>
      </c>
      <c r="B396" s="6" t="s">
        <v>2543</v>
      </c>
      <c r="C396" s="7">
        <v>1336.8</v>
      </c>
      <c r="D396" s="8" t="s">
        <v>2544</v>
      </c>
      <c r="E396" s="8" t="s">
        <v>2545</v>
      </c>
      <c r="F396" s="8" t="s">
        <v>437</v>
      </c>
      <c r="G396" s="6" t="s">
        <v>38</v>
      </c>
      <c r="H396" s="6" t="s">
        <v>39</v>
      </c>
      <c r="I396" s="8" t="s">
        <v>40</v>
      </c>
      <c r="J396" s="9">
        <v>1</v>
      </c>
      <c r="K396" s="9">
        <v>221</v>
      </c>
      <c r="L396" s="9">
        <v>2025</v>
      </c>
      <c r="M396" s="8" t="s">
        <v>2546</v>
      </c>
      <c r="N396" s="8" t="s">
        <v>42</v>
      </c>
      <c r="O396" s="8" t="s">
        <v>101</v>
      </c>
      <c r="P396" s="6" t="s">
        <v>44</v>
      </c>
      <c r="Q396" s="8" t="s">
        <v>45</v>
      </c>
      <c r="R396" s="10" t="s">
        <v>2547</v>
      </c>
      <c r="S396" s="11"/>
      <c r="T396" s="6"/>
      <c r="U396" s="24" t="str">
        <f>HYPERLINK("https://media.infra-m.ru/2163/2163184/cover/2163184.jpg", "Обложка")</f>
        <v>Обложка</v>
      </c>
      <c r="V396" s="24" t="str">
        <f>HYPERLINK("https://znanium.ru/catalog/product/2143358", "Ознакомиться")</f>
        <v>Ознакомиться</v>
      </c>
      <c r="W396" s="8" t="s">
        <v>361</v>
      </c>
      <c r="X396" s="6"/>
      <c r="Y396" s="6"/>
      <c r="Z396" s="6"/>
      <c r="AA396" s="6" t="s">
        <v>68</v>
      </c>
      <c r="AB396" s="8"/>
    </row>
    <row r="397" spans="1:28" s="4" customFormat="1" ht="51.95" customHeight="1">
      <c r="A397" s="5">
        <v>0</v>
      </c>
      <c r="B397" s="6" t="s">
        <v>2548</v>
      </c>
      <c r="C397" s="7">
        <v>1968</v>
      </c>
      <c r="D397" s="8" t="s">
        <v>2549</v>
      </c>
      <c r="E397" s="8" t="s">
        <v>2550</v>
      </c>
      <c r="F397" s="8" t="s">
        <v>2551</v>
      </c>
      <c r="G397" s="6" t="s">
        <v>132</v>
      </c>
      <c r="H397" s="6" t="s">
        <v>39</v>
      </c>
      <c r="I397" s="8" t="s">
        <v>40</v>
      </c>
      <c r="J397" s="9">
        <v>1</v>
      </c>
      <c r="K397" s="9">
        <v>344</v>
      </c>
      <c r="L397" s="9">
        <v>2024</v>
      </c>
      <c r="M397" s="8" t="s">
        <v>2552</v>
      </c>
      <c r="N397" s="8" t="s">
        <v>42</v>
      </c>
      <c r="O397" s="8" t="s">
        <v>101</v>
      </c>
      <c r="P397" s="6" t="s">
        <v>44</v>
      </c>
      <c r="Q397" s="8" t="s">
        <v>45</v>
      </c>
      <c r="R397" s="10" t="s">
        <v>2553</v>
      </c>
      <c r="S397" s="11"/>
      <c r="T397" s="6"/>
      <c r="U397" s="24" t="str">
        <f>HYPERLINK("https://media.infra-m.ru/2001/2001728/cover/2001728.jpg", "Обложка")</f>
        <v>Обложка</v>
      </c>
      <c r="V397" s="24" t="str">
        <f>HYPERLINK("https://znanium.ru/catalog/product/2001728", "Ознакомиться")</f>
        <v>Ознакомиться</v>
      </c>
      <c r="W397" s="8" t="s">
        <v>191</v>
      </c>
      <c r="X397" s="6"/>
      <c r="Y397" s="6"/>
      <c r="Z397" s="6"/>
      <c r="AA397" s="6" t="s">
        <v>58</v>
      </c>
      <c r="AB397" s="8"/>
    </row>
    <row r="398" spans="1:28" s="4" customFormat="1" ht="42" customHeight="1">
      <c r="A398" s="5">
        <v>0</v>
      </c>
      <c r="B398" s="6" t="s">
        <v>2554</v>
      </c>
      <c r="C398" s="7">
        <v>1116</v>
      </c>
      <c r="D398" s="8" t="s">
        <v>2555</v>
      </c>
      <c r="E398" s="8" t="s">
        <v>2556</v>
      </c>
      <c r="F398" s="8" t="s">
        <v>2557</v>
      </c>
      <c r="G398" s="6" t="s">
        <v>38</v>
      </c>
      <c r="H398" s="6" t="s">
        <v>182</v>
      </c>
      <c r="I398" s="8" t="s">
        <v>40</v>
      </c>
      <c r="J398" s="9">
        <v>1</v>
      </c>
      <c r="K398" s="9">
        <v>195</v>
      </c>
      <c r="L398" s="9">
        <v>2024</v>
      </c>
      <c r="M398" s="8" t="s">
        <v>2558</v>
      </c>
      <c r="N398" s="8" t="s">
        <v>42</v>
      </c>
      <c r="O398" s="8" t="s">
        <v>101</v>
      </c>
      <c r="P398" s="6" t="s">
        <v>44</v>
      </c>
      <c r="Q398" s="8" t="s">
        <v>45</v>
      </c>
      <c r="R398" s="10" t="s">
        <v>874</v>
      </c>
      <c r="S398" s="11"/>
      <c r="T398" s="6"/>
      <c r="U398" s="24" t="str">
        <f>HYPERLINK("https://media.infra-m.ru/2094/2094350/cover/2094350.jpg", "Обложка")</f>
        <v>Обложка</v>
      </c>
      <c r="V398" s="12"/>
      <c r="W398" s="8" t="s">
        <v>2491</v>
      </c>
      <c r="X398" s="6"/>
      <c r="Y398" s="6"/>
      <c r="Z398" s="6"/>
      <c r="AA398" s="6" t="s">
        <v>76</v>
      </c>
      <c r="AB398" s="8"/>
    </row>
    <row r="399" spans="1:28" s="4" customFormat="1" ht="42" customHeight="1">
      <c r="A399" s="5">
        <v>0</v>
      </c>
      <c r="B399" s="6" t="s">
        <v>2559</v>
      </c>
      <c r="C399" s="13">
        <v>720</v>
      </c>
      <c r="D399" s="8" t="s">
        <v>2560</v>
      </c>
      <c r="E399" s="8" t="s">
        <v>2561</v>
      </c>
      <c r="F399" s="8" t="s">
        <v>2562</v>
      </c>
      <c r="G399" s="6" t="s">
        <v>38</v>
      </c>
      <c r="H399" s="6" t="s">
        <v>39</v>
      </c>
      <c r="I399" s="8" t="s">
        <v>40</v>
      </c>
      <c r="J399" s="9">
        <v>1</v>
      </c>
      <c r="K399" s="9">
        <v>124</v>
      </c>
      <c r="L399" s="9">
        <v>2024</v>
      </c>
      <c r="M399" s="8" t="s">
        <v>2563</v>
      </c>
      <c r="N399" s="8" t="s">
        <v>42</v>
      </c>
      <c r="O399" s="8" t="s">
        <v>101</v>
      </c>
      <c r="P399" s="6" t="s">
        <v>44</v>
      </c>
      <c r="Q399" s="8" t="s">
        <v>45</v>
      </c>
      <c r="R399" s="10" t="s">
        <v>269</v>
      </c>
      <c r="S399" s="11"/>
      <c r="T399" s="6"/>
      <c r="U399" s="24" t="str">
        <f>HYPERLINK("https://media.infra-m.ru/2082/2082660/cover/2082660.jpg", "Обложка")</f>
        <v>Обложка</v>
      </c>
      <c r="V399" s="24" t="str">
        <f>HYPERLINK("https://znanium.ru/catalog/product/2082660", "Ознакомиться")</f>
        <v>Ознакомиться</v>
      </c>
      <c r="W399" s="8" t="s">
        <v>314</v>
      </c>
      <c r="X399" s="6"/>
      <c r="Y399" s="6"/>
      <c r="Z399" s="6"/>
      <c r="AA399" s="6" t="s">
        <v>58</v>
      </c>
      <c r="AB399" s="8"/>
    </row>
    <row r="400" spans="1:28" s="4" customFormat="1" ht="42" customHeight="1">
      <c r="A400" s="5">
        <v>0</v>
      </c>
      <c r="B400" s="6" t="s">
        <v>2564</v>
      </c>
      <c r="C400" s="13">
        <v>868.8</v>
      </c>
      <c r="D400" s="8" t="s">
        <v>2565</v>
      </c>
      <c r="E400" s="8" t="s">
        <v>2566</v>
      </c>
      <c r="F400" s="8" t="s">
        <v>2567</v>
      </c>
      <c r="G400" s="6" t="s">
        <v>38</v>
      </c>
      <c r="H400" s="6" t="s">
        <v>99</v>
      </c>
      <c r="I400" s="8"/>
      <c r="J400" s="9">
        <v>1</v>
      </c>
      <c r="K400" s="9">
        <v>144</v>
      </c>
      <c r="L400" s="9">
        <v>2025</v>
      </c>
      <c r="M400" s="8" t="s">
        <v>2568</v>
      </c>
      <c r="N400" s="8" t="s">
        <v>42</v>
      </c>
      <c r="O400" s="8" t="s">
        <v>101</v>
      </c>
      <c r="P400" s="6" t="s">
        <v>44</v>
      </c>
      <c r="Q400" s="8" t="s">
        <v>45</v>
      </c>
      <c r="R400" s="10" t="s">
        <v>564</v>
      </c>
      <c r="S400" s="11"/>
      <c r="T400" s="6"/>
      <c r="U400" s="24" t="str">
        <f>HYPERLINK("https://media.infra-m.ru/2169/2169162/cover/2169162.jpg", "Обложка")</f>
        <v>Обложка</v>
      </c>
      <c r="V400" s="24" t="str">
        <f>HYPERLINK("https://znanium.ru/catalog/product/1734833", "Ознакомиться")</f>
        <v>Ознакомиться</v>
      </c>
      <c r="W400" s="8" t="s">
        <v>2569</v>
      </c>
      <c r="X400" s="6"/>
      <c r="Y400" s="6"/>
      <c r="Z400" s="6"/>
      <c r="AA400" s="6" t="s">
        <v>127</v>
      </c>
      <c r="AB400" s="8"/>
    </row>
    <row r="401" spans="1:28" s="4" customFormat="1" ht="42" customHeight="1">
      <c r="A401" s="5">
        <v>0</v>
      </c>
      <c r="B401" s="6" t="s">
        <v>2570</v>
      </c>
      <c r="C401" s="7">
        <v>1188</v>
      </c>
      <c r="D401" s="8" t="s">
        <v>2571</v>
      </c>
      <c r="E401" s="8" t="s">
        <v>2572</v>
      </c>
      <c r="F401" s="8" t="s">
        <v>2573</v>
      </c>
      <c r="G401" s="6" t="s">
        <v>38</v>
      </c>
      <c r="H401" s="6" t="s">
        <v>39</v>
      </c>
      <c r="I401" s="8" t="s">
        <v>40</v>
      </c>
      <c r="J401" s="9">
        <v>1</v>
      </c>
      <c r="K401" s="9">
        <v>187</v>
      </c>
      <c r="L401" s="9">
        <v>2025</v>
      </c>
      <c r="M401" s="8" t="s">
        <v>2574</v>
      </c>
      <c r="N401" s="8" t="s">
        <v>54</v>
      </c>
      <c r="O401" s="8" t="s">
        <v>55</v>
      </c>
      <c r="P401" s="6" t="s">
        <v>44</v>
      </c>
      <c r="Q401" s="8" t="s">
        <v>45</v>
      </c>
      <c r="R401" s="10" t="s">
        <v>1487</v>
      </c>
      <c r="S401" s="11"/>
      <c r="T401" s="6"/>
      <c r="U401" s="24" t="str">
        <f>HYPERLINK("https://media.infra-m.ru/2074/2074252/cover/2074252.jpg", "Обложка")</f>
        <v>Обложка</v>
      </c>
      <c r="V401" s="24" t="str">
        <f>HYPERLINK("https://znanium.ru/catalog/product/2074252", "Ознакомиться")</f>
        <v>Ознакомиться</v>
      </c>
      <c r="W401" s="8" t="s">
        <v>2575</v>
      </c>
      <c r="X401" s="6"/>
      <c r="Y401" s="6"/>
      <c r="Z401" s="6"/>
      <c r="AA401" s="6" t="s">
        <v>159</v>
      </c>
      <c r="AB401" s="8"/>
    </row>
    <row r="402" spans="1:28" s="4" customFormat="1" ht="51.95" customHeight="1">
      <c r="A402" s="5">
        <v>0</v>
      </c>
      <c r="B402" s="6" t="s">
        <v>2576</v>
      </c>
      <c r="C402" s="7">
        <v>1032</v>
      </c>
      <c r="D402" s="8" t="s">
        <v>2577</v>
      </c>
      <c r="E402" s="8" t="s">
        <v>2578</v>
      </c>
      <c r="F402" s="8" t="s">
        <v>2579</v>
      </c>
      <c r="G402" s="6" t="s">
        <v>38</v>
      </c>
      <c r="H402" s="6" t="s">
        <v>39</v>
      </c>
      <c r="I402" s="8"/>
      <c r="J402" s="9">
        <v>1</v>
      </c>
      <c r="K402" s="9">
        <v>160</v>
      </c>
      <c r="L402" s="9">
        <v>2026</v>
      </c>
      <c r="M402" s="8" t="s">
        <v>2580</v>
      </c>
      <c r="N402" s="8" t="s">
        <v>54</v>
      </c>
      <c r="O402" s="8" t="s">
        <v>140</v>
      </c>
      <c r="P402" s="6" t="s">
        <v>44</v>
      </c>
      <c r="Q402" s="8" t="s">
        <v>45</v>
      </c>
      <c r="R402" s="10" t="s">
        <v>2581</v>
      </c>
      <c r="S402" s="11"/>
      <c r="T402" s="6"/>
      <c r="U402" s="24" t="str">
        <f>HYPERLINK("https://media.infra-m.ru/2221/2221516/cover/2221516.jpg", "Обложка")</f>
        <v>Обложка</v>
      </c>
      <c r="V402" s="24" t="str">
        <f>HYPERLINK("https://znanium.ru/catalog/product/1897823", "Ознакомиться")</f>
        <v>Ознакомиться</v>
      </c>
      <c r="W402" s="8" t="s">
        <v>1389</v>
      </c>
      <c r="X402" s="6"/>
      <c r="Y402" s="6"/>
      <c r="Z402" s="6"/>
      <c r="AA402" s="6" t="s">
        <v>377</v>
      </c>
      <c r="AB402" s="8"/>
    </row>
    <row r="403" spans="1:28" s="4" customFormat="1" ht="51.95" customHeight="1">
      <c r="A403" s="5">
        <v>0</v>
      </c>
      <c r="B403" s="6" t="s">
        <v>2582</v>
      </c>
      <c r="C403" s="7">
        <v>1240.8</v>
      </c>
      <c r="D403" s="8" t="s">
        <v>2583</v>
      </c>
      <c r="E403" s="8" t="s">
        <v>2584</v>
      </c>
      <c r="F403" s="8" t="s">
        <v>2585</v>
      </c>
      <c r="G403" s="6" t="s">
        <v>38</v>
      </c>
      <c r="H403" s="6" t="s">
        <v>39</v>
      </c>
      <c r="I403" s="8" t="s">
        <v>40</v>
      </c>
      <c r="J403" s="9">
        <v>1</v>
      </c>
      <c r="K403" s="9">
        <v>199</v>
      </c>
      <c r="L403" s="9">
        <v>2026</v>
      </c>
      <c r="M403" s="8" t="s">
        <v>2586</v>
      </c>
      <c r="N403" s="8" t="s">
        <v>284</v>
      </c>
      <c r="O403" s="8" t="s">
        <v>328</v>
      </c>
      <c r="P403" s="6" t="s">
        <v>44</v>
      </c>
      <c r="Q403" s="8" t="s">
        <v>45</v>
      </c>
      <c r="R403" s="10" t="s">
        <v>2587</v>
      </c>
      <c r="S403" s="11"/>
      <c r="T403" s="6"/>
      <c r="U403" s="24" t="str">
        <f>HYPERLINK("https://media.infra-m.ru/2221/2221950/cover/2221950.jpg", "Обложка")</f>
        <v>Обложка</v>
      </c>
      <c r="V403" s="24" t="str">
        <f>HYPERLINK("https://znanium.ru/catalog/product/2218022", "Ознакомиться")</f>
        <v>Ознакомиться</v>
      </c>
      <c r="W403" s="8" t="s">
        <v>791</v>
      </c>
      <c r="X403" s="6"/>
      <c r="Y403" s="6"/>
      <c r="Z403" s="6"/>
      <c r="AA403" s="6" t="s">
        <v>111</v>
      </c>
      <c r="AB403" s="8"/>
    </row>
    <row r="404" spans="1:28" s="4" customFormat="1" ht="42" customHeight="1">
      <c r="A404" s="5">
        <v>0</v>
      </c>
      <c r="B404" s="6" t="s">
        <v>2588</v>
      </c>
      <c r="C404" s="7">
        <v>2076</v>
      </c>
      <c r="D404" s="8" t="s">
        <v>2589</v>
      </c>
      <c r="E404" s="8" t="s">
        <v>2590</v>
      </c>
      <c r="F404" s="8" t="s">
        <v>2591</v>
      </c>
      <c r="G404" s="6" t="s">
        <v>38</v>
      </c>
      <c r="H404" s="6" t="s">
        <v>39</v>
      </c>
      <c r="I404" s="8" t="s">
        <v>40</v>
      </c>
      <c r="J404" s="9">
        <v>1</v>
      </c>
      <c r="K404" s="9">
        <v>315</v>
      </c>
      <c r="L404" s="9">
        <v>2026</v>
      </c>
      <c r="M404" s="8" t="s">
        <v>2592</v>
      </c>
      <c r="N404" s="8" t="s">
        <v>284</v>
      </c>
      <c r="O404" s="8" t="s">
        <v>717</v>
      </c>
      <c r="P404" s="6" t="s">
        <v>44</v>
      </c>
      <c r="Q404" s="8" t="s">
        <v>45</v>
      </c>
      <c r="R404" s="10" t="s">
        <v>2593</v>
      </c>
      <c r="S404" s="11"/>
      <c r="T404" s="6"/>
      <c r="U404" s="24" t="str">
        <f>HYPERLINK("https://media.infra-m.ru/2226/2226485/cover/2226485.jpg", "Обложка")</f>
        <v>Обложка</v>
      </c>
      <c r="V404" s="24" t="str">
        <f>HYPERLINK("https://znanium.ru/catalog/product/2226485", "Ознакомиться")</f>
        <v>Ознакомиться</v>
      </c>
      <c r="W404" s="8" t="s">
        <v>2594</v>
      </c>
      <c r="X404" s="6"/>
      <c r="Y404" s="6"/>
      <c r="Z404" s="6"/>
      <c r="AA404" s="6" t="s">
        <v>199</v>
      </c>
      <c r="AB404" s="8"/>
    </row>
    <row r="405" spans="1:28" s="4" customFormat="1" ht="51.95" customHeight="1">
      <c r="A405" s="5">
        <v>0</v>
      </c>
      <c r="B405" s="6" t="s">
        <v>2595</v>
      </c>
      <c r="C405" s="13">
        <v>869.9</v>
      </c>
      <c r="D405" s="8" t="s">
        <v>2596</v>
      </c>
      <c r="E405" s="8" t="s">
        <v>2597</v>
      </c>
      <c r="F405" s="8" t="s">
        <v>2598</v>
      </c>
      <c r="G405" s="6" t="s">
        <v>132</v>
      </c>
      <c r="H405" s="6" t="s">
        <v>1019</v>
      </c>
      <c r="I405" s="8" t="s">
        <v>1020</v>
      </c>
      <c r="J405" s="9">
        <v>1</v>
      </c>
      <c r="K405" s="9">
        <v>160</v>
      </c>
      <c r="L405" s="9">
        <v>2023</v>
      </c>
      <c r="M405" s="8" t="s">
        <v>2599</v>
      </c>
      <c r="N405" s="8" t="s">
        <v>42</v>
      </c>
      <c r="O405" s="8" t="s">
        <v>101</v>
      </c>
      <c r="P405" s="6" t="s">
        <v>44</v>
      </c>
      <c r="Q405" s="8" t="s">
        <v>45</v>
      </c>
      <c r="R405" s="10" t="s">
        <v>2600</v>
      </c>
      <c r="S405" s="11"/>
      <c r="T405" s="6"/>
      <c r="U405" s="24" t="str">
        <f>HYPERLINK("https://media.infra-m.ru/1895/1895617/cover/1895617.jpg", "Обложка")</f>
        <v>Обложка</v>
      </c>
      <c r="V405" s="24" t="str">
        <f>HYPERLINK("https://znanium.ru/catalog/product/1290318", "Ознакомиться")</f>
        <v>Ознакомиться</v>
      </c>
      <c r="W405" s="8" t="s">
        <v>167</v>
      </c>
      <c r="X405" s="6"/>
      <c r="Y405" s="6"/>
      <c r="Z405" s="6"/>
      <c r="AA405" s="6" t="s">
        <v>127</v>
      </c>
      <c r="AB405" s="8"/>
    </row>
    <row r="406" spans="1:28" s="4" customFormat="1" ht="44.1" customHeight="1">
      <c r="A406" s="5">
        <v>0</v>
      </c>
      <c r="B406" s="6" t="s">
        <v>2601</v>
      </c>
      <c r="C406" s="7">
        <v>1253.9000000000001</v>
      </c>
      <c r="D406" s="8" t="s">
        <v>2602</v>
      </c>
      <c r="E406" s="8" t="s">
        <v>2603</v>
      </c>
      <c r="F406" s="8" t="s">
        <v>2604</v>
      </c>
      <c r="G406" s="6" t="s">
        <v>132</v>
      </c>
      <c r="H406" s="6" t="s">
        <v>39</v>
      </c>
      <c r="I406" s="8" t="s">
        <v>336</v>
      </c>
      <c r="J406" s="9">
        <v>1</v>
      </c>
      <c r="K406" s="9">
        <v>336</v>
      </c>
      <c r="L406" s="9">
        <v>2018</v>
      </c>
      <c r="M406" s="8" t="s">
        <v>2605</v>
      </c>
      <c r="N406" s="8" t="s">
        <v>42</v>
      </c>
      <c r="O406" s="8" t="s">
        <v>101</v>
      </c>
      <c r="P406" s="6" t="s">
        <v>44</v>
      </c>
      <c r="Q406" s="8" t="s">
        <v>45</v>
      </c>
      <c r="R406" s="10" t="s">
        <v>2606</v>
      </c>
      <c r="S406" s="11"/>
      <c r="T406" s="6"/>
      <c r="U406" s="24" t="str">
        <f>HYPERLINK("https://media.infra-m.ru/0926/0926197/cover/926197.jpg", "Обложка")</f>
        <v>Обложка</v>
      </c>
      <c r="V406" s="24" t="str">
        <f>HYPERLINK("https://znanium.ru/catalog/product/926197", "Ознакомиться")</f>
        <v>Ознакомиться</v>
      </c>
      <c r="W406" s="8" t="s">
        <v>103</v>
      </c>
      <c r="X406" s="6"/>
      <c r="Y406" s="6"/>
      <c r="Z406" s="6"/>
      <c r="AA406" s="6" t="s">
        <v>377</v>
      </c>
      <c r="AB406" s="8"/>
    </row>
    <row r="407" spans="1:28" s="4" customFormat="1" ht="42" customHeight="1">
      <c r="A407" s="5">
        <v>0</v>
      </c>
      <c r="B407" s="6" t="s">
        <v>2607</v>
      </c>
      <c r="C407" s="7">
        <v>1776</v>
      </c>
      <c r="D407" s="8" t="s">
        <v>2608</v>
      </c>
      <c r="E407" s="8" t="s">
        <v>2609</v>
      </c>
      <c r="F407" s="8" t="s">
        <v>2610</v>
      </c>
      <c r="G407" s="6" t="s">
        <v>81</v>
      </c>
      <c r="H407" s="6" t="s">
        <v>99</v>
      </c>
      <c r="I407" s="8"/>
      <c r="J407" s="9">
        <v>1</v>
      </c>
      <c r="K407" s="9">
        <v>320</v>
      </c>
      <c r="L407" s="9">
        <v>2024</v>
      </c>
      <c r="M407" s="8" t="s">
        <v>2611</v>
      </c>
      <c r="N407" s="8" t="s">
        <v>42</v>
      </c>
      <c r="O407" s="8" t="s">
        <v>101</v>
      </c>
      <c r="P407" s="6" t="s">
        <v>44</v>
      </c>
      <c r="Q407" s="8" t="s">
        <v>45</v>
      </c>
      <c r="R407" s="10" t="s">
        <v>874</v>
      </c>
      <c r="S407" s="11"/>
      <c r="T407" s="6"/>
      <c r="U407" s="24" t="str">
        <f>HYPERLINK("https://media.infra-m.ru/2083/2083853/cover/2083853.jpg", "Обложка")</f>
        <v>Обложка</v>
      </c>
      <c r="V407" s="24" t="str">
        <f>HYPERLINK("https://znanium.ru/catalog/product/2083853", "Ознакомиться")</f>
        <v>Ознакомиться</v>
      </c>
      <c r="W407" s="8" t="s">
        <v>346</v>
      </c>
      <c r="X407" s="6"/>
      <c r="Y407" s="6"/>
      <c r="Z407" s="6"/>
      <c r="AA407" s="6" t="s">
        <v>94</v>
      </c>
      <c r="AB407" s="8"/>
    </row>
    <row r="408" spans="1:28" s="4" customFormat="1" ht="51.95" customHeight="1">
      <c r="A408" s="5">
        <v>0</v>
      </c>
      <c r="B408" s="6" t="s">
        <v>2612</v>
      </c>
      <c r="C408" s="7">
        <v>1680</v>
      </c>
      <c r="D408" s="8" t="s">
        <v>2613</v>
      </c>
      <c r="E408" s="8" t="s">
        <v>2614</v>
      </c>
      <c r="F408" s="8" t="s">
        <v>2615</v>
      </c>
      <c r="G408" s="6" t="s">
        <v>38</v>
      </c>
      <c r="H408" s="6" t="s">
        <v>39</v>
      </c>
      <c r="I408" s="8" t="s">
        <v>164</v>
      </c>
      <c r="J408" s="9">
        <v>1</v>
      </c>
      <c r="K408" s="9">
        <v>297</v>
      </c>
      <c r="L408" s="9">
        <v>2024</v>
      </c>
      <c r="M408" s="8" t="s">
        <v>2616</v>
      </c>
      <c r="N408" s="8" t="s">
        <v>42</v>
      </c>
      <c r="O408" s="8" t="s">
        <v>189</v>
      </c>
      <c r="P408" s="6" t="s">
        <v>44</v>
      </c>
      <c r="Q408" s="8" t="s">
        <v>45</v>
      </c>
      <c r="R408" s="10" t="s">
        <v>2617</v>
      </c>
      <c r="S408" s="11"/>
      <c r="T408" s="6"/>
      <c r="U408" s="24" t="str">
        <f>HYPERLINK("https://media.infra-m.ru/2061/2061462/cover/2061462.jpg", "Обложка")</f>
        <v>Обложка</v>
      </c>
      <c r="V408" s="24" t="str">
        <f>HYPERLINK("https://znanium.ru/catalog/product/2061462", "Ознакомиться")</f>
        <v>Ознакомиться</v>
      </c>
      <c r="W408" s="8" t="s">
        <v>167</v>
      </c>
      <c r="X408" s="6"/>
      <c r="Y408" s="6"/>
      <c r="Z408" s="6"/>
      <c r="AA408" s="6" t="s">
        <v>424</v>
      </c>
      <c r="AB408" s="8" t="s">
        <v>2618</v>
      </c>
    </row>
    <row r="409" spans="1:28" s="4" customFormat="1" ht="51.95" customHeight="1">
      <c r="A409" s="5">
        <v>0</v>
      </c>
      <c r="B409" s="6" t="s">
        <v>2619</v>
      </c>
      <c r="C409" s="13">
        <v>756</v>
      </c>
      <c r="D409" s="8" t="s">
        <v>2620</v>
      </c>
      <c r="E409" s="8" t="s">
        <v>2621</v>
      </c>
      <c r="F409" s="8" t="s">
        <v>2615</v>
      </c>
      <c r="G409" s="6" t="s">
        <v>38</v>
      </c>
      <c r="H409" s="6" t="s">
        <v>39</v>
      </c>
      <c r="I409" s="8" t="s">
        <v>40</v>
      </c>
      <c r="J409" s="9">
        <v>1</v>
      </c>
      <c r="K409" s="9">
        <v>179</v>
      </c>
      <c r="L409" s="9">
        <v>2020</v>
      </c>
      <c r="M409" s="8" t="s">
        <v>2622</v>
      </c>
      <c r="N409" s="8" t="s">
        <v>42</v>
      </c>
      <c r="O409" s="8" t="s">
        <v>189</v>
      </c>
      <c r="P409" s="6" t="s">
        <v>44</v>
      </c>
      <c r="Q409" s="8" t="s">
        <v>45</v>
      </c>
      <c r="R409" s="10" t="s">
        <v>2617</v>
      </c>
      <c r="S409" s="11"/>
      <c r="T409" s="6"/>
      <c r="U409" s="24" t="str">
        <f>HYPERLINK("https://media.infra-m.ru/1082/1082924/cover/1082924.jpg", "Обложка")</f>
        <v>Обложка</v>
      </c>
      <c r="V409" s="24" t="str">
        <f>HYPERLINK("https://znanium.ru/catalog/product/2061462", "Ознакомиться")</f>
        <v>Ознакомиться</v>
      </c>
      <c r="W409" s="8" t="s">
        <v>167</v>
      </c>
      <c r="X409" s="6"/>
      <c r="Y409" s="6"/>
      <c r="Z409" s="6"/>
      <c r="AA409" s="6" t="s">
        <v>68</v>
      </c>
      <c r="AB409" s="8" t="s">
        <v>2618</v>
      </c>
    </row>
    <row r="410" spans="1:28" s="4" customFormat="1" ht="51.95" customHeight="1">
      <c r="A410" s="5">
        <v>0</v>
      </c>
      <c r="B410" s="6" t="s">
        <v>2623</v>
      </c>
      <c r="C410" s="7">
        <v>1205.9000000000001</v>
      </c>
      <c r="D410" s="8" t="s">
        <v>2624</v>
      </c>
      <c r="E410" s="8" t="s">
        <v>2625</v>
      </c>
      <c r="F410" s="8" t="s">
        <v>2626</v>
      </c>
      <c r="G410" s="6" t="s">
        <v>38</v>
      </c>
      <c r="H410" s="6" t="s">
        <v>39</v>
      </c>
      <c r="I410" s="8" t="s">
        <v>40</v>
      </c>
      <c r="J410" s="9">
        <v>1</v>
      </c>
      <c r="K410" s="9">
        <v>324</v>
      </c>
      <c r="L410" s="9">
        <v>2017</v>
      </c>
      <c r="M410" s="8" t="s">
        <v>2627</v>
      </c>
      <c r="N410" s="8" t="s">
        <v>54</v>
      </c>
      <c r="O410" s="8" t="s">
        <v>91</v>
      </c>
      <c r="P410" s="6" t="s">
        <v>44</v>
      </c>
      <c r="Q410" s="8" t="s">
        <v>45</v>
      </c>
      <c r="R410" s="10" t="s">
        <v>2628</v>
      </c>
      <c r="S410" s="11"/>
      <c r="T410" s="6"/>
      <c r="U410" s="24" t="str">
        <f>HYPERLINK("https://media.infra-m.ru/0769/0769934/cover/769934.jpg", "Обложка")</f>
        <v>Обложка</v>
      </c>
      <c r="V410" s="24" t="str">
        <f>HYPERLINK("https://znanium.ru/catalog/product/316335", "Ознакомиться")</f>
        <v>Ознакомиться</v>
      </c>
      <c r="W410" s="8" t="s">
        <v>791</v>
      </c>
      <c r="X410" s="6"/>
      <c r="Y410" s="6"/>
      <c r="Z410" s="6"/>
      <c r="AA410" s="6" t="s">
        <v>48</v>
      </c>
      <c r="AB410" s="8"/>
    </row>
    <row r="411" spans="1:28" s="4" customFormat="1" ht="51.95" customHeight="1">
      <c r="A411" s="5">
        <v>0</v>
      </c>
      <c r="B411" s="6" t="s">
        <v>2629</v>
      </c>
      <c r="C411" s="7">
        <v>2580</v>
      </c>
      <c r="D411" s="8" t="s">
        <v>2630</v>
      </c>
      <c r="E411" s="8" t="s">
        <v>2631</v>
      </c>
      <c r="F411" s="8" t="s">
        <v>2632</v>
      </c>
      <c r="G411" s="6" t="s">
        <v>38</v>
      </c>
      <c r="H411" s="6" t="s">
        <v>39</v>
      </c>
      <c r="I411" s="8" t="s">
        <v>40</v>
      </c>
      <c r="J411" s="9">
        <v>1</v>
      </c>
      <c r="K411" s="9">
        <v>412</v>
      </c>
      <c r="L411" s="9">
        <v>2026</v>
      </c>
      <c r="M411" s="8" t="s">
        <v>2633</v>
      </c>
      <c r="N411" s="8" t="s">
        <v>54</v>
      </c>
      <c r="O411" s="8" t="s">
        <v>117</v>
      </c>
      <c r="P411" s="6" t="s">
        <v>44</v>
      </c>
      <c r="Q411" s="8" t="s">
        <v>45</v>
      </c>
      <c r="R411" s="10" t="s">
        <v>2634</v>
      </c>
      <c r="S411" s="11"/>
      <c r="T411" s="6"/>
      <c r="U411" s="24" t="str">
        <f>HYPERLINK("https://media.infra-m.ru/2215/2215334/cover/2215334.jpg", "Обложка")</f>
        <v>Обложка</v>
      </c>
      <c r="V411" s="24" t="str">
        <f>HYPERLINK("https://znanium.ru/catalog/product/2215334", "Ознакомиться")</f>
        <v>Ознакомиться</v>
      </c>
      <c r="W411" s="8" t="s">
        <v>2569</v>
      </c>
      <c r="X411" s="6"/>
      <c r="Y411" s="6"/>
      <c r="Z411" s="6"/>
      <c r="AA411" s="6" t="s">
        <v>119</v>
      </c>
      <c r="AB411" s="8" t="s">
        <v>2635</v>
      </c>
    </row>
    <row r="412" spans="1:28" s="4" customFormat="1" ht="51.95" customHeight="1">
      <c r="A412" s="5">
        <v>0</v>
      </c>
      <c r="B412" s="6" t="s">
        <v>2636</v>
      </c>
      <c r="C412" s="7">
        <v>1668</v>
      </c>
      <c r="D412" s="8" t="s">
        <v>2637</v>
      </c>
      <c r="E412" s="8" t="s">
        <v>2638</v>
      </c>
      <c r="F412" s="8" t="s">
        <v>2639</v>
      </c>
      <c r="G412" s="6" t="s">
        <v>81</v>
      </c>
      <c r="H412" s="6" t="s">
        <v>39</v>
      </c>
      <c r="I412" s="8" t="s">
        <v>164</v>
      </c>
      <c r="J412" s="9">
        <v>1</v>
      </c>
      <c r="K412" s="9">
        <v>240</v>
      </c>
      <c r="L412" s="9">
        <v>2026</v>
      </c>
      <c r="M412" s="8" t="s">
        <v>2640</v>
      </c>
      <c r="N412" s="8" t="s">
        <v>42</v>
      </c>
      <c r="O412" s="8" t="s">
        <v>189</v>
      </c>
      <c r="P412" s="6" t="s">
        <v>44</v>
      </c>
      <c r="Q412" s="8" t="s">
        <v>45</v>
      </c>
      <c r="R412" s="10" t="s">
        <v>2641</v>
      </c>
      <c r="S412" s="11"/>
      <c r="T412" s="6"/>
      <c r="U412" s="24" t="str">
        <f>HYPERLINK("https://media.infra-m.ru/2226/2226526/cover/2226526.jpg", "Обложка")</f>
        <v>Обложка</v>
      </c>
      <c r="V412" s="24" t="str">
        <f>HYPERLINK("https://znanium.ru/catalog/product/2226526", "Ознакомиться")</f>
        <v>Ознакомиться</v>
      </c>
      <c r="W412" s="8" t="s">
        <v>2642</v>
      </c>
      <c r="X412" s="6"/>
      <c r="Y412" s="6"/>
      <c r="Z412" s="6"/>
      <c r="AA412" s="6" t="s">
        <v>159</v>
      </c>
      <c r="AB412" s="8"/>
    </row>
    <row r="413" spans="1:28" s="4" customFormat="1" ht="51.95" customHeight="1">
      <c r="A413" s="5">
        <v>0</v>
      </c>
      <c r="B413" s="6" t="s">
        <v>2643</v>
      </c>
      <c r="C413" s="7">
        <v>1104</v>
      </c>
      <c r="D413" s="8" t="s">
        <v>2644</v>
      </c>
      <c r="E413" s="8" t="s">
        <v>2645</v>
      </c>
      <c r="F413" s="8" t="s">
        <v>2646</v>
      </c>
      <c r="G413" s="6" t="s">
        <v>38</v>
      </c>
      <c r="H413" s="6" t="s">
        <v>39</v>
      </c>
      <c r="I413" s="8" t="s">
        <v>40</v>
      </c>
      <c r="J413" s="9">
        <v>1</v>
      </c>
      <c r="K413" s="9">
        <v>204</v>
      </c>
      <c r="L413" s="9">
        <v>2023</v>
      </c>
      <c r="M413" s="8" t="s">
        <v>2647</v>
      </c>
      <c r="N413" s="8" t="s">
        <v>42</v>
      </c>
      <c r="O413" s="8" t="s">
        <v>246</v>
      </c>
      <c r="P413" s="6" t="s">
        <v>44</v>
      </c>
      <c r="Q413" s="8" t="s">
        <v>45</v>
      </c>
      <c r="R413" s="10" t="s">
        <v>2648</v>
      </c>
      <c r="S413" s="11"/>
      <c r="T413" s="6" t="s">
        <v>1080</v>
      </c>
      <c r="U413" s="24" t="str">
        <f>HYPERLINK("https://media.infra-m.ru/2038/2038259/cover/2038259.jpg", "Обложка")</f>
        <v>Обложка</v>
      </c>
      <c r="V413" s="24" t="str">
        <f>HYPERLINK("https://znanium.ru/catalog/product/2038259", "Ознакомиться")</f>
        <v>Ознакомиться</v>
      </c>
      <c r="W413" s="8" t="s">
        <v>1049</v>
      </c>
      <c r="X413" s="6"/>
      <c r="Y413" s="6"/>
      <c r="Z413" s="6"/>
      <c r="AA413" s="6" t="s">
        <v>2649</v>
      </c>
      <c r="AB413" s="8"/>
    </row>
    <row r="414" spans="1:28" s="4" customFormat="1" ht="51.95" customHeight="1">
      <c r="A414" s="5">
        <v>0</v>
      </c>
      <c r="B414" s="6" t="s">
        <v>2650</v>
      </c>
      <c r="C414" s="13">
        <v>136.80000000000001</v>
      </c>
      <c r="D414" s="8" t="s">
        <v>2651</v>
      </c>
      <c r="E414" s="8" t="s">
        <v>2652</v>
      </c>
      <c r="F414" s="8" t="s">
        <v>1891</v>
      </c>
      <c r="G414" s="6" t="s">
        <v>38</v>
      </c>
      <c r="H414" s="6" t="s">
        <v>182</v>
      </c>
      <c r="I414" s="8"/>
      <c r="J414" s="9">
        <v>1</v>
      </c>
      <c r="K414" s="9">
        <v>11</v>
      </c>
      <c r="L414" s="9">
        <v>2024</v>
      </c>
      <c r="M414" s="8" t="s">
        <v>2653</v>
      </c>
      <c r="N414" s="8" t="s">
        <v>42</v>
      </c>
      <c r="O414" s="8" t="s">
        <v>101</v>
      </c>
      <c r="P414" s="6" t="s">
        <v>1895</v>
      </c>
      <c r="Q414" s="8" t="s">
        <v>45</v>
      </c>
      <c r="R414" s="10" t="s">
        <v>2654</v>
      </c>
      <c r="S414" s="11"/>
      <c r="T414" s="6"/>
      <c r="U414" s="24" t="str">
        <f>HYPERLINK("https://media.infra-m.ru/2166/2166655/cover/2166655.jpg", "Обложка")</f>
        <v>Обложка</v>
      </c>
      <c r="V414" s="12"/>
      <c r="W414" s="8"/>
      <c r="X414" s="6"/>
      <c r="Y414" s="6"/>
      <c r="Z414" s="6"/>
      <c r="AA414" s="6" t="s">
        <v>2655</v>
      </c>
      <c r="AB414" s="8"/>
    </row>
    <row r="415" spans="1:28" s="4" customFormat="1" ht="42" customHeight="1">
      <c r="A415" s="5">
        <v>0</v>
      </c>
      <c r="B415" s="6" t="s">
        <v>2656</v>
      </c>
      <c r="C415" s="7">
        <v>3444</v>
      </c>
      <c r="D415" s="8" t="s">
        <v>2657</v>
      </c>
      <c r="E415" s="8" t="s">
        <v>2658</v>
      </c>
      <c r="F415" s="8"/>
      <c r="G415" s="6" t="s">
        <v>132</v>
      </c>
      <c r="H415" s="6" t="s">
        <v>39</v>
      </c>
      <c r="I415" s="8" t="s">
        <v>1055</v>
      </c>
      <c r="J415" s="9">
        <v>1</v>
      </c>
      <c r="K415" s="9">
        <v>514</v>
      </c>
      <c r="L415" s="9">
        <v>2026</v>
      </c>
      <c r="M415" s="8" t="s">
        <v>2659</v>
      </c>
      <c r="N415" s="8" t="s">
        <v>284</v>
      </c>
      <c r="O415" s="8" t="s">
        <v>482</v>
      </c>
      <c r="P415" s="6" t="s">
        <v>1057</v>
      </c>
      <c r="Q415" s="8"/>
      <c r="R415" s="10" t="s">
        <v>2660</v>
      </c>
      <c r="S415" s="11"/>
      <c r="T415" s="6" t="s">
        <v>1080</v>
      </c>
      <c r="U415" s="24" t="str">
        <f>HYPERLINK("https://media.infra-m.ru/2176/2176673/cover/2176673.jpg", "Обложка")</f>
        <v>Обложка</v>
      </c>
      <c r="V415" s="12"/>
      <c r="W415" s="8"/>
      <c r="X415" s="6" t="s">
        <v>1094</v>
      </c>
      <c r="Y415" s="6"/>
      <c r="Z415" s="6"/>
      <c r="AA415" s="6" t="s">
        <v>833</v>
      </c>
      <c r="AB415" s="8"/>
    </row>
    <row r="416" spans="1:28" s="4" customFormat="1" ht="42" customHeight="1">
      <c r="A416" s="5">
        <v>0</v>
      </c>
      <c r="B416" s="6" t="s">
        <v>2661</v>
      </c>
      <c r="C416" s="7">
        <v>1792.8</v>
      </c>
      <c r="D416" s="8" t="s">
        <v>2662</v>
      </c>
      <c r="E416" s="8" t="s">
        <v>2663</v>
      </c>
      <c r="F416" s="8" t="s">
        <v>2664</v>
      </c>
      <c r="G416" s="6" t="s">
        <v>81</v>
      </c>
      <c r="H416" s="6" t="s">
        <v>326</v>
      </c>
      <c r="I416" s="8" t="s">
        <v>1055</v>
      </c>
      <c r="J416" s="9">
        <v>1</v>
      </c>
      <c r="K416" s="9">
        <v>288</v>
      </c>
      <c r="L416" s="9">
        <v>2025</v>
      </c>
      <c r="M416" s="8" t="s">
        <v>2665</v>
      </c>
      <c r="N416" s="8" t="s">
        <v>54</v>
      </c>
      <c r="O416" s="8" t="s">
        <v>140</v>
      </c>
      <c r="P416" s="6" t="s">
        <v>1057</v>
      </c>
      <c r="Q416" s="8"/>
      <c r="R416" s="10" t="s">
        <v>2666</v>
      </c>
      <c r="S416" s="11"/>
      <c r="T416" s="6"/>
      <c r="U416" s="24" t="str">
        <f>HYPERLINK("https://media.infra-m.ru/2217/2217143/cover/2217143.jpg", "Обложка")</f>
        <v>Обложка</v>
      </c>
      <c r="V416" s="24" t="str">
        <f>HYPERLINK("https://znanium.ru/catalog/product/2212412", "Ознакомиться")</f>
        <v>Ознакомиться</v>
      </c>
      <c r="W416" s="8" t="s">
        <v>191</v>
      </c>
      <c r="X416" s="6"/>
      <c r="Y416" s="6"/>
      <c r="Z416" s="6"/>
      <c r="AA416" s="6" t="s">
        <v>419</v>
      </c>
      <c r="AB416" s="8"/>
    </row>
    <row r="417" spans="1:28" s="4" customFormat="1" ht="42" customHeight="1">
      <c r="A417" s="5">
        <v>0</v>
      </c>
      <c r="B417" s="6" t="s">
        <v>2667</v>
      </c>
      <c r="C417" s="7">
        <v>2208</v>
      </c>
      <c r="D417" s="8" t="s">
        <v>2668</v>
      </c>
      <c r="E417" s="8" t="s">
        <v>2669</v>
      </c>
      <c r="F417" s="8" t="s">
        <v>2670</v>
      </c>
      <c r="G417" s="6" t="s">
        <v>81</v>
      </c>
      <c r="H417" s="6" t="s">
        <v>39</v>
      </c>
      <c r="I417" s="8" t="s">
        <v>1055</v>
      </c>
      <c r="J417" s="9">
        <v>1</v>
      </c>
      <c r="K417" s="9">
        <v>348</v>
      </c>
      <c r="L417" s="9">
        <v>2026</v>
      </c>
      <c r="M417" s="8" t="s">
        <v>2671</v>
      </c>
      <c r="N417" s="8" t="s">
        <v>42</v>
      </c>
      <c r="O417" s="8" t="s">
        <v>189</v>
      </c>
      <c r="P417" s="6" t="s">
        <v>1057</v>
      </c>
      <c r="Q417" s="8" t="s">
        <v>287</v>
      </c>
      <c r="R417" s="10" t="s">
        <v>2672</v>
      </c>
      <c r="S417" s="11"/>
      <c r="T417" s="6"/>
      <c r="U417" s="24" t="str">
        <f>HYPERLINK("https://media.infra-m.ru/2206/2206783/cover/2206783.jpg", "Обложка")</f>
        <v>Обложка</v>
      </c>
      <c r="V417" s="24" t="str">
        <f>HYPERLINK("https://znanium.ru/catalog/product/2206783", "Ознакомиться")</f>
        <v>Ознакомиться</v>
      </c>
      <c r="W417" s="8" t="s">
        <v>2673</v>
      </c>
      <c r="X417" s="6"/>
      <c r="Y417" s="6"/>
      <c r="Z417" s="6"/>
      <c r="AA417" s="6" t="s">
        <v>159</v>
      </c>
      <c r="AB417" s="8"/>
    </row>
    <row r="418" spans="1:28" s="4" customFormat="1" ht="51.95" customHeight="1">
      <c r="A418" s="5">
        <v>0</v>
      </c>
      <c r="B418" s="6" t="s">
        <v>2674</v>
      </c>
      <c r="C418" s="7">
        <v>1156.8</v>
      </c>
      <c r="D418" s="8" t="s">
        <v>2675</v>
      </c>
      <c r="E418" s="8" t="s">
        <v>2676</v>
      </c>
      <c r="F418" s="8" t="s">
        <v>1891</v>
      </c>
      <c r="G418" s="6" t="s">
        <v>132</v>
      </c>
      <c r="H418" s="6" t="s">
        <v>99</v>
      </c>
      <c r="I418" s="8"/>
      <c r="J418" s="9">
        <v>1</v>
      </c>
      <c r="K418" s="9">
        <v>184</v>
      </c>
      <c r="L418" s="9">
        <v>2025</v>
      </c>
      <c r="M418" s="8" t="s">
        <v>2677</v>
      </c>
      <c r="N418" s="8" t="s">
        <v>42</v>
      </c>
      <c r="O418" s="8" t="s">
        <v>65</v>
      </c>
      <c r="P418" s="6" t="s">
        <v>44</v>
      </c>
      <c r="Q418" s="8" t="s">
        <v>45</v>
      </c>
      <c r="R418" s="10" t="s">
        <v>2678</v>
      </c>
      <c r="S418" s="11"/>
      <c r="T418" s="6"/>
      <c r="U418" s="24" t="str">
        <f>HYPERLINK("https://media.infra-m.ru/2206/2206900/cover/2206900.jpg", "Обложка")</f>
        <v>Обложка</v>
      </c>
      <c r="V418" s="24" t="str">
        <f>HYPERLINK("https://znanium.ru/catalog/product/1993585", "Ознакомиться")</f>
        <v>Ознакомиться</v>
      </c>
      <c r="W418" s="8"/>
      <c r="X418" s="6"/>
      <c r="Y418" s="6"/>
      <c r="Z418" s="6"/>
      <c r="AA418" s="6" t="s">
        <v>76</v>
      </c>
      <c r="AB418" s="8"/>
    </row>
    <row r="419" spans="1:28" s="4" customFormat="1" ht="42" customHeight="1">
      <c r="A419" s="5">
        <v>0</v>
      </c>
      <c r="B419" s="6" t="s">
        <v>2679</v>
      </c>
      <c r="C419" s="7">
        <v>2688</v>
      </c>
      <c r="D419" s="8" t="s">
        <v>2680</v>
      </c>
      <c r="E419" s="8" t="s">
        <v>2681</v>
      </c>
      <c r="F419" s="8" t="s">
        <v>2682</v>
      </c>
      <c r="G419" s="6" t="s">
        <v>132</v>
      </c>
      <c r="H419" s="6" t="s">
        <v>39</v>
      </c>
      <c r="I419" s="8" t="s">
        <v>40</v>
      </c>
      <c r="J419" s="9">
        <v>1</v>
      </c>
      <c r="K419" s="9">
        <v>448</v>
      </c>
      <c r="L419" s="9">
        <v>2025</v>
      </c>
      <c r="M419" s="8" t="s">
        <v>2683</v>
      </c>
      <c r="N419" s="8" t="s">
        <v>42</v>
      </c>
      <c r="O419" s="8" t="s">
        <v>101</v>
      </c>
      <c r="P419" s="6" t="s">
        <v>44</v>
      </c>
      <c r="Q419" s="8" t="s">
        <v>45</v>
      </c>
      <c r="R419" s="10" t="s">
        <v>564</v>
      </c>
      <c r="S419" s="11"/>
      <c r="T419" s="6"/>
      <c r="U419" s="24" t="str">
        <f>HYPERLINK("https://media.infra-m.ru/2180/2180546/cover/2180546.jpg", "Обложка")</f>
        <v>Обложка</v>
      </c>
      <c r="V419" s="24" t="str">
        <f>HYPERLINK("https://znanium.ru/catalog/product/1895630", "Ознакомиться")</f>
        <v>Ознакомиться</v>
      </c>
      <c r="W419" s="8" t="s">
        <v>1627</v>
      </c>
      <c r="X419" s="6"/>
      <c r="Y419" s="6"/>
      <c r="Z419" s="6"/>
      <c r="AA419" s="6" t="s">
        <v>369</v>
      </c>
      <c r="AB419" s="8" t="s">
        <v>653</v>
      </c>
    </row>
    <row r="420" spans="1:28" s="4" customFormat="1" ht="42" customHeight="1">
      <c r="A420" s="5">
        <v>0</v>
      </c>
      <c r="B420" s="6" t="s">
        <v>2684</v>
      </c>
      <c r="C420" s="7">
        <v>1836</v>
      </c>
      <c r="D420" s="8" t="s">
        <v>2685</v>
      </c>
      <c r="E420" s="8" t="s">
        <v>2686</v>
      </c>
      <c r="F420" s="8" t="s">
        <v>2687</v>
      </c>
      <c r="G420" s="6" t="s">
        <v>38</v>
      </c>
      <c r="H420" s="6" t="s">
        <v>39</v>
      </c>
      <c r="I420" s="8" t="s">
        <v>40</v>
      </c>
      <c r="J420" s="9">
        <v>1</v>
      </c>
      <c r="K420" s="9">
        <v>331</v>
      </c>
      <c r="L420" s="9">
        <v>2024</v>
      </c>
      <c r="M420" s="8" t="s">
        <v>2688</v>
      </c>
      <c r="N420" s="8" t="s">
        <v>229</v>
      </c>
      <c r="O420" s="8" t="s">
        <v>230</v>
      </c>
      <c r="P420" s="6" t="s">
        <v>44</v>
      </c>
      <c r="Q420" s="8" t="s">
        <v>45</v>
      </c>
      <c r="R420" s="10" t="s">
        <v>508</v>
      </c>
      <c r="S420" s="11"/>
      <c r="T420" s="6"/>
      <c r="U420" s="24" t="str">
        <f>HYPERLINK("https://media.infra-m.ru/2058/2058502/cover/2058502.jpg", "Обложка")</f>
        <v>Обложка</v>
      </c>
      <c r="V420" s="24" t="str">
        <f>HYPERLINK("https://znanium.ru/catalog/product/1064967", "Ознакомиться")</f>
        <v>Ознакомиться</v>
      </c>
      <c r="W420" s="8" t="s">
        <v>2689</v>
      </c>
      <c r="X420" s="6"/>
      <c r="Y420" s="6"/>
      <c r="Z420" s="6"/>
      <c r="AA420" s="6" t="s">
        <v>168</v>
      </c>
      <c r="AB420" s="8"/>
    </row>
    <row r="421" spans="1:28" s="4" customFormat="1" ht="42" customHeight="1">
      <c r="A421" s="5">
        <v>0</v>
      </c>
      <c r="B421" s="6" t="s">
        <v>2690</v>
      </c>
      <c r="C421" s="7">
        <v>1068</v>
      </c>
      <c r="D421" s="8" t="s">
        <v>2691</v>
      </c>
      <c r="E421" s="8" t="s">
        <v>2692</v>
      </c>
      <c r="F421" s="8" t="s">
        <v>2693</v>
      </c>
      <c r="G421" s="6" t="s">
        <v>38</v>
      </c>
      <c r="H421" s="6" t="s">
        <v>39</v>
      </c>
      <c r="I421" s="8" t="s">
        <v>40</v>
      </c>
      <c r="J421" s="9">
        <v>1</v>
      </c>
      <c r="K421" s="9">
        <v>179</v>
      </c>
      <c r="L421" s="9">
        <v>2024</v>
      </c>
      <c r="M421" s="8" t="s">
        <v>2694</v>
      </c>
      <c r="N421" s="8" t="s">
        <v>42</v>
      </c>
      <c r="O421" s="8" t="s">
        <v>101</v>
      </c>
      <c r="P421" s="6" t="s">
        <v>44</v>
      </c>
      <c r="Q421" s="8" t="s">
        <v>45</v>
      </c>
      <c r="R421" s="10" t="s">
        <v>2695</v>
      </c>
      <c r="S421" s="11"/>
      <c r="T421" s="6"/>
      <c r="U421" s="24" t="str">
        <f>HYPERLINK("https://media.infra-m.ru/2138/2138770/cover/2138770.jpg", "Обложка")</f>
        <v>Обложка</v>
      </c>
      <c r="V421" s="24" t="str">
        <f>HYPERLINK("https://znanium.ru/catalog/product/2138770", "Ознакомиться")</f>
        <v>Ознакомиться</v>
      </c>
      <c r="W421" s="8" t="s">
        <v>1126</v>
      </c>
      <c r="X421" s="6"/>
      <c r="Y421" s="6"/>
      <c r="Z421" s="6"/>
      <c r="AA421" s="6" t="s">
        <v>119</v>
      </c>
      <c r="AB421" s="8"/>
    </row>
    <row r="422" spans="1:28" s="4" customFormat="1" ht="44.1" customHeight="1">
      <c r="A422" s="5">
        <v>0</v>
      </c>
      <c r="B422" s="6" t="s">
        <v>2696</v>
      </c>
      <c r="C422" s="7">
        <v>2400</v>
      </c>
      <c r="D422" s="8" t="s">
        <v>2697</v>
      </c>
      <c r="E422" s="8" t="s">
        <v>2698</v>
      </c>
      <c r="F422" s="8" t="s">
        <v>259</v>
      </c>
      <c r="G422" s="6" t="s">
        <v>81</v>
      </c>
      <c r="H422" s="6" t="s">
        <v>99</v>
      </c>
      <c r="I422" s="8"/>
      <c r="J422" s="9">
        <v>1</v>
      </c>
      <c r="K422" s="9">
        <v>400</v>
      </c>
      <c r="L422" s="9">
        <v>2025</v>
      </c>
      <c r="M422" s="8" t="s">
        <v>2699</v>
      </c>
      <c r="N422" s="8" t="s">
        <v>42</v>
      </c>
      <c r="O422" s="8" t="s">
        <v>101</v>
      </c>
      <c r="P422" s="6" t="s">
        <v>44</v>
      </c>
      <c r="Q422" s="8" t="s">
        <v>45</v>
      </c>
      <c r="R422" s="10" t="s">
        <v>2700</v>
      </c>
      <c r="S422" s="11"/>
      <c r="T422" s="6"/>
      <c r="U422" s="24" t="str">
        <f>HYPERLINK("https://media.infra-m.ru/2176/2176288/cover/2176288.jpg", "Обложка")</f>
        <v>Обложка</v>
      </c>
      <c r="V422" s="24" t="str">
        <f>HYPERLINK("https://znanium.ru/catalog/product/1895648", "Ознакомиться")</f>
        <v>Ознакомиться</v>
      </c>
      <c r="W422" s="8" t="s">
        <v>262</v>
      </c>
      <c r="X422" s="6"/>
      <c r="Y422" s="6"/>
      <c r="Z422" s="6"/>
      <c r="AA422" s="6" t="s">
        <v>199</v>
      </c>
      <c r="AB422" s="8"/>
    </row>
    <row r="423" spans="1:28" s="4" customFormat="1" ht="42" customHeight="1">
      <c r="A423" s="5">
        <v>0</v>
      </c>
      <c r="B423" s="6" t="s">
        <v>2701</v>
      </c>
      <c r="C423" s="7">
        <v>1068</v>
      </c>
      <c r="D423" s="8" t="s">
        <v>2702</v>
      </c>
      <c r="E423" s="8" t="s">
        <v>2703</v>
      </c>
      <c r="F423" s="8" t="s">
        <v>2704</v>
      </c>
      <c r="G423" s="6" t="s">
        <v>38</v>
      </c>
      <c r="H423" s="6" t="s">
        <v>39</v>
      </c>
      <c r="I423" s="8" t="s">
        <v>40</v>
      </c>
      <c r="J423" s="9">
        <v>1</v>
      </c>
      <c r="K423" s="9">
        <v>172</v>
      </c>
      <c r="L423" s="9">
        <v>2026</v>
      </c>
      <c r="M423" s="8" t="s">
        <v>2705</v>
      </c>
      <c r="N423" s="8" t="s">
        <v>54</v>
      </c>
      <c r="O423" s="8" t="s">
        <v>117</v>
      </c>
      <c r="P423" s="6" t="s">
        <v>44</v>
      </c>
      <c r="Q423" s="8" t="s">
        <v>45</v>
      </c>
      <c r="R423" s="10" t="s">
        <v>2706</v>
      </c>
      <c r="S423" s="11"/>
      <c r="T423" s="6"/>
      <c r="U423" s="24" t="str">
        <f>HYPERLINK("https://media.infra-m.ru/2217/2217959/cover/2217959.jpg", "Обложка")</f>
        <v>Обложка</v>
      </c>
      <c r="V423" s="24" t="str">
        <f>HYPERLINK("https://znanium.ru/catalog/product/2217959", "Ознакомиться")</f>
        <v>Ознакомиться</v>
      </c>
      <c r="W423" s="8" t="s">
        <v>2707</v>
      </c>
      <c r="X423" s="6"/>
      <c r="Y423" s="6"/>
      <c r="Z423" s="6"/>
      <c r="AA423" s="6" t="s">
        <v>377</v>
      </c>
      <c r="AB423" s="8"/>
    </row>
    <row r="424" spans="1:28" s="4" customFormat="1" ht="42" customHeight="1">
      <c r="A424" s="5">
        <v>0</v>
      </c>
      <c r="B424" s="6" t="s">
        <v>2708</v>
      </c>
      <c r="C424" s="7">
        <v>1072.8</v>
      </c>
      <c r="D424" s="8" t="s">
        <v>2709</v>
      </c>
      <c r="E424" s="8" t="s">
        <v>2710</v>
      </c>
      <c r="F424" s="8" t="s">
        <v>2711</v>
      </c>
      <c r="G424" s="6" t="s">
        <v>38</v>
      </c>
      <c r="H424" s="6" t="s">
        <v>39</v>
      </c>
      <c r="I424" s="8" t="s">
        <v>336</v>
      </c>
      <c r="J424" s="9">
        <v>1</v>
      </c>
      <c r="K424" s="9">
        <v>172</v>
      </c>
      <c r="L424" s="9">
        <v>2025</v>
      </c>
      <c r="M424" s="8" t="s">
        <v>2712</v>
      </c>
      <c r="N424" s="8" t="s">
        <v>42</v>
      </c>
      <c r="O424" s="8" t="s">
        <v>101</v>
      </c>
      <c r="P424" s="6" t="s">
        <v>44</v>
      </c>
      <c r="Q424" s="8" t="s">
        <v>45</v>
      </c>
      <c r="R424" s="10" t="s">
        <v>874</v>
      </c>
      <c r="S424" s="11"/>
      <c r="T424" s="6"/>
      <c r="U424" s="24" t="str">
        <f>HYPERLINK("https://media.infra-m.ru/2194/2194358/cover/2194358.jpg", "Обложка")</f>
        <v>Обложка</v>
      </c>
      <c r="V424" s="24" t="str">
        <f>HYPERLINK("https://znanium.ru/catalog/product/1900718", "Ознакомиться")</f>
        <v>Ознакомиться</v>
      </c>
      <c r="W424" s="8" t="s">
        <v>103</v>
      </c>
      <c r="X424" s="6"/>
      <c r="Y424" s="6"/>
      <c r="Z424" s="6"/>
      <c r="AA424" s="6" t="s">
        <v>127</v>
      </c>
      <c r="AB424" s="8"/>
    </row>
    <row r="425" spans="1:28" s="4" customFormat="1" ht="42" customHeight="1">
      <c r="A425" s="5">
        <v>0</v>
      </c>
      <c r="B425" s="6" t="s">
        <v>2713</v>
      </c>
      <c r="C425" s="7">
        <v>2008.8</v>
      </c>
      <c r="D425" s="8" t="s">
        <v>2714</v>
      </c>
      <c r="E425" s="8" t="s">
        <v>2715</v>
      </c>
      <c r="F425" s="8" t="s">
        <v>1906</v>
      </c>
      <c r="G425" s="6" t="s">
        <v>81</v>
      </c>
      <c r="H425" s="6" t="s">
        <v>39</v>
      </c>
      <c r="I425" s="8" t="s">
        <v>344</v>
      </c>
      <c r="J425" s="9">
        <v>1</v>
      </c>
      <c r="K425" s="9">
        <v>355</v>
      </c>
      <c r="L425" s="9">
        <v>2024</v>
      </c>
      <c r="M425" s="8" t="s">
        <v>2716</v>
      </c>
      <c r="N425" s="8" t="s">
        <v>42</v>
      </c>
      <c r="O425" s="8" t="s">
        <v>1315</v>
      </c>
      <c r="P425" s="6" t="s">
        <v>44</v>
      </c>
      <c r="Q425" s="8" t="s">
        <v>45</v>
      </c>
      <c r="R425" s="10" t="s">
        <v>2717</v>
      </c>
      <c r="S425" s="11"/>
      <c r="T425" s="6"/>
      <c r="U425" s="24" t="str">
        <f>HYPERLINK("https://media.infra-m.ru/2151/2151397/cover/2151397.jpg", "Обложка")</f>
        <v>Обложка</v>
      </c>
      <c r="V425" s="12"/>
      <c r="W425" s="8" t="s">
        <v>565</v>
      </c>
      <c r="X425" s="6"/>
      <c r="Y425" s="6"/>
      <c r="Z425" s="6"/>
      <c r="AA425" s="6" t="s">
        <v>369</v>
      </c>
      <c r="AB425" s="8"/>
    </row>
    <row r="426" spans="1:28" s="4" customFormat="1" ht="44.1" customHeight="1">
      <c r="A426" s="5">
        <v>0</v>
      </c>
      <c r="B426" s="6" t="s">
        <v>2718</v>
      </c>
      <c r="C426" s="7">
        <v>2712</v>
      </c>
      <c r="D426" s="8" t="s">
        <v>2719</v>
      </c>
      <c r="E426" s="8" t="s">
        <v>2720</v>
      </c>
      <c r="F426" s="8" t="s">
        <v>2721</v>
      </c>
      <c r="G426" s="6" t="s">
        <v>132</v>
      </c>
      <c r="H426" s="6" t="s">
        <v>39</v>
      </c>
      <c r="I426" s="8" t="s">
        <v>40</v>
      </c>
      <c r="J426" s="9">
        <v>1</v>
      </c>
      <c r="K426" s="9">
        <v>482</v>
      </c>
      <c r="L426" s="9">
        <v>2024</v>
      </c>
      <c r="M426" s="8" t="s">
        <v>2722</v>
      </c>
      <c r="N426" s="8" t="s">
        <v>54</v>
      </c>
      <c r="O426" s="8" t="s">
        <v>91</v>
      </c>
      <c r="P426" s="6" t="s">
        <v>44</v>
      </c>
      <c r="Q426" s="8" t="s">
        <v>45</v>
      </c>
      <c r="R426" s="10" t="s">
        <v>2723</v>
      </c>
      <c r="S426" s="11"/>
      <c r="T426" s="6"/>
      <c r="U426" s="24" t="str">
        <f>HYPERLINK("https://media.infra-m.ru/2099/2099001/cover/2099001.jpg", "Обложка")</f>
        <v>Обложка</v>
      </c>
      <c r="V426" s="24" t="str">
        <f>HYPERLINK("https://znanium.ru/catalog/product/2099001", "Ознакомиться")</f>
        <v>Ознакомиться</v>
      </c>
      <c r="W426" s="8" t="s">
        <v>2724</v>
      </c>
      <c r="X426" s="6"/>
      <c r="Y426" s="6"/>
      <c r="Z426" s="6"/>
      <c r="AA426" s="6" t="s">
        <v>58</v>
      </c>
      <c r="AB426" s="8"/>
    </row>
    <row r="427" spans="1:28" s="4" customFormat="1" ht="44.1" customHeight="1">
      <c r="A427" s="5">
        <v>0</v>
      </c>
      <c r="B427" s="6" t="s">
        <v>2725</v>
      </c>
      <c r="C427" s="13">
        <v>960</v>
      </c>
      <c r="D427" s="8" t="s">
        <v>2726</v>
      </c>
      <c r="E427" s="8" t="s">
        <v>2727</v>
      </c>
      <c r="F427" s="8" t="s">
        <v>2728</v>
      </c>
      <c r="G427" s="6" t="s">
        <v>38</v>
      </c>
      <c r="H427" s="6" t="s">
        <v>39</v>
      </c>
      <c r="I427" s="8" t="s">
        <v>40</v>
      </c>
      <c r="J427" s="9">
        <v>1</v>
      </c>
      <c r="K427" s="9">
        <v>204</v>
      </c>
      <c r="L427" s="9">
        <v>2022</v>
      </c>
      <c r="M427" s="8" t="s">
        <v>2729</v>
      </c>
      <c r="N427" s="8" t="s">
        <v>54</v>
      </c>
      <c r="O427" s="8" t="s">
        <v>91</v>
      </c>
      <c r="P427" s="6" t="s">
        <v>44</v>
      </c>
      <c r="Q427" s="8" t="s">
        <v>45</v>
      </c>
      <c r="R427" s="10" t="s">
        <v>2730</v>
      </c>
      <c r="S427" s="11"/>
      <c r="T427" s="6"/>
      <c r="U427" s="24" t="str">
        <f>HYPERLINK("https://media.infra-m.ru/1095/1095043/cover/1095043.jpg", "Обложка")</f>
        <v>Обложка</v>
      </c>
      <c r="V427" s="24" t="str">
        <f>HYPERLINK("https://znanium.ru/catalog/product/1095043", "Ознакомиться")</f>
        <v>Ознакомиться</v>
      </c>
      <c r="W427" s="8" t="s">
        <v>2731</v>
      </c>
      <c r="X427" s="6"/>
      <c r="Y427" s="6"/>
      <c r="Z427" s="6"/>
      <c r="AA427" s="6" t="s">
        <v>111</v>
      </c>
      <c r="AB427" s="8"/>
    </row>
    <row r="428" spans="1:28" s="4" customFormat="1" ht="51.95" customHeight="1">
      <c r="A428" s="5">
        <v>0</v>
      </c>
      <c r="B428" s="6" t="s">
        <v>2732</v>
      </c>
      <c r="C428" s="7">
        <v>2136</v>
      </c>
      <c r="D428" s="8" t="s">
        <v>2733</v>
      </c>
      <c r="E428" s="8" t="s">
        <v>2734</v>
      </c>
      <c r="F428" s="8" t="s">
        <v>2735</v>
      </c>
      <c r="G428" s="6" t="s">
        <v>81</v>
      </c>
      <c r="H428" s="6" t="s">
        <v>39</v>
      </c>
      <c r="I428" s="8" t="s">
        <v>40</v>
      </c>
      <c r="J428" s="9">
        <v>1</v>
      </c>
      <c r="K428" s="9">
        <v>323</v>
      </c>
      <c r="L428" s="9">
        <v>2026</v>
      </c>
      <c r="M428" s="8" t="s">
        <v>2736</v>
      </c>
      <c r="N428" s="8" t="s">
        <v>229</v>
      </c>
      <c r="O428" s="8" t="s">
        <v>230</v>
      </c>
      <c r="P428" s="6" t="s">
        <v>44</v>
      </c>
      <c r="Q428" s="8" t="s">
        <v>45</v>
      </c>
      <c r="R428" s="10" t="s">
        <v>2737</v>
      </c>
      <c r="S428" s="11"/>
      <c r="T428" s="6"/>
      <c r="U428" s="24" t="str">
        <f>HYPERLINK("https://media.infra-m.ru/2223/2223140/cover/2223140.jpg", "Обложка")</f>
        <v>Обложка</v>
      </c>
      <c r="V428" s="24" t="str">
        <f>HYPERLINK("https://znanium.ru/catalog/product/2223140", "Ознакомиться")</f>
        <v>Ознакомиться</v>
      </c>
      <c r="W428" s="8" t="s">
        <v>2738</v>
      </c>
      <c r="X428" s="6"/>
      <c r="Y428" s="6"/>
      <c r="Z428" s="6"/>
      <c r="AA428" s="6" t="s">
        <v>177</v>
      </c>
      <c r="AB428" s="8"/>
    </row>
    <row r="429" spans="1:28" s="4" customFormat="1" ht="51.95" customHeight="1">
      <c r="A429" s="5">
        <v>0</v>
      </c>
      <c r="B429" s="6" t="s">
        <v>2739</v>
      </c>
      <c r="C429" s="7">
        <v>1092</v>
      </c>
      <c r="D429" s="8" t="s">
        <v>2740</v>
      </c>
      <c r="E429" s="8" t="s">
        <v>2741</v>
      </c>
      <c r="F429" s="8" t="s">
        <v>2742</v>
      </c>
      <c r="G429" s="6" t="s">
        <v>81</v>
      </c>
      <c r="H429" s="6" t="s">
        <v>39</v>
      </c>
      <c r="I429" s="8" t="s">
        <v>40</v>
      </c>
      <c r="J429" s="9">
        <v>1</v>
      </c>
      <c r="K429" s="9">
        <v>267</v>
      </c>
      <c r="L429" s="9">
        <v>2019</v>
      </c>
      <c r="M429" s="8" t="s">
        <v>2743</v>
      </c>
      <c r="N429" s="8" t="s">
        <v>229</v>
      </c>
      <c r="O429" s="8" t="s">
        <v>230</v>
      </c>
      <c r="P429" s="6" t="s">
        <v>44</v>
      </c>
      <c r="Q429" s="8" t="s">
        <v>45</v>
      </c>
      <c r="R429" s="10" t="s">
        <v>2737</v>
      </c>
      <c r="S429" s="11"/>
      <c r="T429" s="6"/>
      <c r="U429" s="24" t="str">
        <f>HYPERLINK("https://media.infra-m.ru/1032/1032359/cover/1032359.jpg", "Обложка")</f>
        <v>Обложка</v>
      </c>
      <c r="V429" s="24" t="str">
        <f>HYPERLINK("https://znanium.ru/catalog/product/2223140", "Ознакомиться")</f>
        <v>Ознакомиться</v>
      </c>
      <c r="W429" s="8" t="s">
        <v>2738</v>
      </c>
      <c r="X429" s="6"/>
      <c r="Y429" s="6"/>
      <c r="Z429" s="6"/>
      <c r="AA429" s="6" t="s">
        <v>68</v>
      </c>
      <c r="AB429" s="8"/>
    </row>
    <row r="430" spans="1:28" s="4" customFormat="1" ht="42" customHeight="1">
      <c r="A430" s="5">
        <v>0</v>
      </c>
      <c r="B430" s="6" t="s">
        <v>2744</v>
      </c>
      <c r="C430" s="13">
        <v>648</v>
      </c>
      <c r="D430" s="8" t="s">
        <v>2745</v>
      </c>
      <c r="E430" s="8" t="s">
        <v>2746</v>
      </c>
      <c r="F430" s="8" t="s">
        <v>697</v>
      </c>
      <c r="G430" s="6" t="s">
        <v>38</v>
      </c>
      <c r="H430" s="6" t="s">
        <v>39</v>
      </c>
      <c r="I430" s="8" t="s">
        <v>40</v>
      </c>
      <c r="J430" s="9">
        <v>1</v>
      </c>
      <c r="K430" s="9">
        <v>119</v>
      </c>
      <c r="L430" s="9">
        <v>2023</v>
      </c>
      <c r="M430" s="8" t="s">
        <v>2747</v>
      </c>
      <c r="N430" s="8" t="s">
        <v>54</v>
      </c>
      <c r="O430" s="8" t="s">
        <v>91</v>
      </c>
      <c r="P430" s="6" t="s">
        <v>44</v>
      </c>
      <c r="Q430" s="8" t="s">
        <v>45</v>
      </c>
      <c r="R430" s="10" t="s">
        <v>2748</v>
      </c>
      <c r="S430" s="11"/>
      <c r="T430" s="6"/>
      <c r="U430" s="24" t="str">
        <f>HYPERLINK("https://media.infra-m.ru/1938/1938022/cover/1938022.jpg", "Обложка")</f>
        <v>Обложка</v>
      </c>
      <c r="V430" s="24" t="str">
        <f>HYPERLINK("https://znanium.ru/catalog/product/1938022", "Ознакомиться")</f>
        <v>Ознакомиться</v>
      </c>
      <c r="W430" s="8" t="s">
        <v>699</v>
      </c>
      <c r="X430" s="6"/>
      <c r="Y430" s="6"/>
      <c r="Z430" s="6"/>
      <c r="AA430" s="6" t="s">
        <v>339</v>
      </c>
      <c r="AB430" s="8"/>
    </row>
    <row r="431" spans="1:28" s="4" customFormat="1" ht="42" customHeight="1">
      <c r="A431" s="5">
        <v>0</v>
      </c>
      <c r="B431" s="6" t="s">
        <v>2749</v>
      </c>
      <c r="C431" s="13">
        <v>689.9</v>
      </c>
      <c r="D431" s="8" t="s">
        <v>2750</v>
      </c>
      <c r="E431" s="8" t="s">
        <v>2751</v>
      </c>
      <c r="F431" s="8" t="s">
        <v>2752</v>
      </c>
      <c r="G431" s="6" t="s">
        <v>38</v>
      </c>
      <c r="H431" s="6" t="s">
        <v>39</v>
      </c>
      <c r="I431" s="8" t="s">
        <v>40</v>
      </c>
      <c r="J431" s="9">
        <v>1</v>
      </c>
      <c r="K431" s="9">
        <v>128</v>
      </c>
      <c r="L431" s="9">
        <v>2023</v>
      </c>
      <c r="M431" s="8" t="s">
        <v>2753</v>
      </c>
      <c r="N431" s="8" t="s">
        <v>284</v>
      </c>
      <c r="O431" s="8" t="s">
        <v>312</v>
      </c>
      <c r="P431" s="6" t="s">
        <v>44</v>
      </c>
      <c r="Q431" s="8" t="s">
        <v>45</v>
      </c>
      <c r="R431" s="10" t="s">
        <v>2754</v>
      </c>
      <c r="S431" s="11"/>
      <c r="T431" s="6"/>
      <c r="U431" s="24" t="str">
        <f>HYPERLINK("https://media.infra-m.ru/2024/2024015/cover/2024015.jpg", "Обложка")</f>
        <v>Обложка</v>
      </c>
      <c r="V431" s="24" t="str">
        <f>HYPERLINK("https://znanium.ru/catalog/product/1247041", "Ознакомиться")</f>
        <v>Ознакомиться</v>
      </c>
      <c r="W431" s="8" t="s">
        <v>346</v>
      </c>
      <c r="X431" s="6"/>
      <c r="Y431" s="6"/>
      <c r="Z431" s="6"/>
      <c r="AA431" s="6" t="s">
        <v>290</v>
      </c>
      <c r="AB431" s="8"/>
    </row>
    <row r="432" spans="1:28" s="4" customFormat="1" ht="42" customHeight="1">
      <c r="A432" s="5">
        <v>0</v>
      </c>
      <c r="B432" s="6" t="s">
        <v>2755</v>
      </c>
      <c r="C432" s="7">
        <v>1037.9000000000001</v>
      </c>
      <c r="D432" s="8" t="s">
        <v>2756</v>
      </c>
      <c r="E432" s="8" t="s">
        <v>2757</v>
      </c>
      <c r="F432" s="8" t="s">
        <v>2758</v>
      </c>
      <c r="G432" s="6" t="s">
        <v>38</v>
      </c>
      <c r="H432" s="6" t="s">
        <v>99</v>
      </c>
      <c r="I432" s="8"/>
      <c r="J432" s="9">
        <v>1</v>
      </c>
      <c r="K432" s="9">
        <v>192</v>
      </c>
      <c r="L432" s="9">
        <v>2023</v>
      </c>
      <c r="M432" s="8" t="s">
        <v>2759</v>
      </c>
      <c r="N432" s="8" t="s">
        <v>42</v>
      </c>
      <c r="O432" s="8" t="s">
        <v>101</v>
      </c>
      <c r="P432" s="6" t="s">
        <v>44</v>
      </c>
      <c r="Q432" s="8" t="s">
        <v>45</v>
      </c>
      <c r="R432" s="10" t="s">
        <v>2137</v>
      </c>
      <c r="S432" s="11"/>
      <c r="T432" s="6"/>
      <c r="U432" s="24" t="str">
        <f>HYPERLINK("https://media.infra-m.ru/1876/1876633/cover/1876633.jpg", "Обложка")</f>
        <v>Обложка</v>
      </c>
      <c r="V432" s="24" t="str">
        <f>HYPERLINK("https://znanium.ru/catalog/product/1216859", "Ознакомиться")</f>
        <v>Ознакомиться</v>
      </c>
      <c r="W432" s="8" t="s">
        <v>418</v>
      </c>
      <c r="X432" s="6"/>
      <c r="Y432" s="6"/>
      <c r="Z432" s="6"/>
      <c r="AA432" s="6" t="s">
        <v>377</v>
      </c>
      <c r="AB432" s="8"/>
    </row>
    <row r="433" spans="1:28" s="4" customFormat="1" ht="42" customHeight="1">
      <c r="A433" s="5">
        <v>0</v>
      </c>
      <c r="B433" s="6" t="s">
        <v>2760</v>
      </c>
      <c r="C433" s="7">
        <v>1188</v>
      </c>
      <c r="D433" s="8" t="s">
        <v>2761</v>
      </c>
      <c r="E433" s="8" t="s">
        <v>2762</v>
      </c>
      <c r="F433" s="8" t="s">
        <v>2763</v>
      </c>
      <c r="G433" s="6" t="s">
        <v>38</v>
      </c>
      <c r="H433" s="6" t="s">
        <v>39</v>
      </c>
      <c r="I433" s="8" t="s">
        <v>40</v>
      </c>
      <c r="J433" s="9">
        <v>1</v>
      </c>
      <c r="K433" s="9">
        <v>176</v>
      </c>
      <c r="L433" s="9">
        <v>2024</v>
      </c>
      <c r="M433" s="8" t="s">
        <v>2764</v>
      </c>
      <c r="N433" s="8" t="s">
        <v>220</v>
      </c>
      <c r="O433" s="8" t="s">
        <v>1250</v>
      </c>
      <c r="P433" s="6" t="s">
        <v>44</v>
      </c>
      <c r="Q433" s="8" t="s">
        <v>45</v>
      </c>
      <c r="R433" s="10" t="s">
        <v>2765</v>
      </c>
      <c r="S433" s="11"/>
      <c r="T433" s="6"/>
      <c r="U433" s="24" t="str">
        <f>HYPERLINK("https://media.infra-m.ru/1984/1984075/cover/1984075.jpg", "Обложка")</f>
        <v>Обложка</v>
      </c>
      <c r="V433" s="24" t="str">
        <f>HYPERLINK("https://znanium.ru/catalog/product/1984075", "Ознакомиться")</f>
        <v>Ознакомиться</v>
      </c>
      <c r="W433" s="8" t="s">
        <v>2766</v>
      </c>
      <c r="X433" s="6"/>
      <c r="Y433" s="6"/>
      <c r="Z433" s="6"/>
      <c r="AA433" s="6" t="s">
        <v>119</v>
      </c>
      <c r="AB433" s="8"/>
    </row>
    <row r="434" spans="1:28" s="4" customFormat="1" ht="51.95" customHeight="1">
      <c r="A434" s="5">
        <v>0</v>
      </c>
      <c r="B434" s="6" t="s">
        <v>2767</v>
      </c>
      <c r="C434" s="7">
        <v>1382.4</v>
      </c>
      <c r="D434" s="8" t="s">
        <v>2768</v>
      </c>
      <c r="E434" s="8" t="s">
        <v>2769</v>
      </c>
      <c r="F434" s="8" t="s">
        <v>2770</v>
      </c>
      <c r="G434" s="6" t="s">
        <v>38</v>
      </c>
      <c r="H434" s="6" t="s">
        <v>39</v>
      </c>
      <c r="I434" s="8" t="s">
        <v>164</v>
      </c>
      <c r="J434" s="9">
        <v>1</v>
      </c>
      <c r="K434" s="9">
        <v>192</v>
      </c>
      <c r="L434" s="9">
        <v>2024</v>
      </c>
      <c r="M434" s="8" t="s">
        <v>2771</v>
      </c>
      <c r="N434" s="8" t="s">
        <v>220</v>
      </c>
      <c r="O434" s="8" t="s">
        <v>252</v>
      </c>
      <c r="P434" s="6" t="s">
        <v>44</v>
      </c>
      <c r="Q434" s="8" t="s">
        <v>45</v>
      </c>
      <c r="R434" s="10" t="s">
        <v>2772</v>
      </c>
      <c r="S434" s="11"/>
      <c r="T434" s="6"/>
      <c r="U434" s="24" t="str">
        <f>HYPERLINK("https://media.infra-m.ru/2055/2055773/cover/2055773.jpg", "Обложка")</f>
        <v>Обложка</v>
      </c>
      <c r="V434" s="24" t="str">
        <f>HYPERLINK("https://znanium.ru/catalog/product/2055773", "Ознакомиться")</f>
        <v>Ознакомиться</v>
      </c>
      <c r="W434" s="8" t="s">
        <v>167</v>
      </c>
      <c r="X434" s="6"/>
      <c r="Y434" s="6"/>
      <c r="Z434" s="6"/>
      <c r="AA434" s="6" t="s">
        <v>2773</v>
      </c>
      <c r="AB434" s="8"/>
    </row>
    <row r="435" spans="1:28" s="4" customFormat="1" ht="51.95" customHeight="1">
      <c r="A435" s="5">
        <v>0</v>
      </c>
      <c r="B435" s="6" t="s">
        <v>2774</v>
      </c>
      <c r="C435" s="7">
        <v>1144.8</v>
      </c>
      <c r="D435" s="8" t="s">
        <v>2775</v>
      </c>
      <c r="E435" s="8" t="s">
        <v>2776</v>
      </c>
      <c r="F435" s="8" t="s">
        <v>2770</v>
      </c>
      <c r="G435" s="6" t="s">
        <v>38</v>
      </c>
      <c r="H435" s="6" t="s">
        <v>39</v>
      </c>
      <c r="I435" s="8" t="s">
        <v>164</v>
      </c>
      <c r="J435" s="9">
        <v>1</v>
      </c>
      <c r="K435" s="9">
        <v>163</v>
      </c>
      <c r="L435" s="9">
        <v>2023</v>
      </c>
      <c r="M435" s="8" t="s">
        <v>2777</v>
      </c>
      <c r="N435" s="8" t="s">
        <v>220</v>
      </c>
      <c r="O435" s="8" t="s">
        <v>252</v>
      </c>
      <c r="P435" s="6" t="s">
        <v>44</v>
      </c>
      <c r="Q435" s="8" t="s">
        <v>45</v>
      </c>
      <c r="R435" s="10" t="s">
        <v>2772</v>
      </c>
      <c r="S435" s="11"/>
      <c r="T435" s="6"/>
      <c r="U435" s="24" t="str">
        <f>HYPERLINK("https://media.infra-m.ru/1976/1976138/cover/1976138.jpg", "Обложка")</f>
        <v>Обложка</v>
      </c>
      <c r="V435" s="24" t="str">
        <f>HYPERLINK("https://znanium.ru/catalog/product/2055773", "Ознакомиться")</f>
        <v>Ознакомиться</v>
      </c>
      <c r="W435" s="8" t="s">
        <v>167</v>
      </c>
      <c r="X435" s="6"/>
      <c r="Y435" s="6"/>
      <c r="Z435" s="6"/>
      <c r="AA435" s="6" t="s">
        <v>76</v>
      </c>
      <c r="AB435" s="8"/>
    </row>
    <row r="436" spans="1:28" s="4" customFormat="1" ht="42" customHeight="1">
      <c r="A436" s="5">
        <v>0</v>
      </c>
      <c r="B436" s="6" t="s">
        <v>2778</v>
      </c>
      <c r="C436" s="7">
        <v>1140</v>
      </c>
      <c r="D436" s="8" t="s">
        <v>2779</v>
      </c>
      <c r="E436" s="8" t="s">
        <v>2780</v>
      </c>
      <c r="F436" s="8" t="s">
        <v>2781</v>
      </c>
      <c r="G436" s="6" t="s">
        <v>38</v>
      </c>
      <c r="H436" s="6" t="s">
        <v>39</v>
      </c>
      <c r="I436" s="8" t="s">
        <v>40</v>
      </c>
      <c r="J436" s="9">
        <v>1</v>
      </c>
      <c r="K436" s="9">
        <v>251</v>
      </c>
      <c r="L436" s="9">
        <v>2021</v>
      </c>
      <c r="M436" s="8" t="s">
        <v>2782</v>
      </c>
      <c r="N436" s="8" t="s">
        <v>42</v>
      </c>
      <c r="O436" s="8" t="s">
        <v>1035</v>
      </c>
      <c r="P436" s="6" t="s">
        <v>44</v>
      </c>
      <c r="Q436" s="8" t="s">
        <v>45</v>
      </c>
      <c r="R436" s="10" t="s">
        <v>1100</v>
      </c>
      <c r="S436" s="11"/>
      <c r="T436" s="6"/>
      <c r="U436" s="24" t="str">
        <f>HYPERLINK("https://media.infra-m.ru/1154/1154382/cover/1154382.jpg", "Обложка")</f>
        <v>Обложка</v>
      </c>
      <c r="V436" s="24" t="str">
        <f>HYPERLINK("https://znanium.ru/catalog/product/1154382", "Ознакомиться")</f>
        <v>Ознакомиться</v>
      </c>
      <c r="W436" s="8"/>
      <c r="X436" s="6"/>
      <c r="Y436" s="6"/>
      <c r="Z436" s="6"/>
      <c r="AA436" s="6" t="s">
        <v>199</v>
      </c>
      <c r="AB436" s="8"/>
    </row>
    <row r="437" spans="1:28" s="4" customFormat="1" ht="42" customHeight="1">
      <c r="A437" s="5">
        <v>0</v>
      </c>
      <c r="B437" s="6" t="s">
        <v>2783</v>
      </c>
      <c r="C437" s="13">
        <v>780</v>
      </c>
      <c r="D437" s="8" t="s">
        <v>2784</v>
      </c>
      <c r="E437" s="8" t="s">
        <v>2785</v>
      </c>
      <c r="F437" s="8" t="s">
        <v>2786</v>
      </c>
      <c r="G437" s="6" t="s">
        <v>38</v>
      </c>
      <c r="H437" s="6" t="s">
        <v>39</v>
      </c>
      <c r="I437" s="8" t="s">
        <v>40</v>
      </c>
      <c r="J437" s="9">
        <v>1</v>
      </c>
      <c r="K437" s="9">
        <v>135</v>
      </c>
      <c r="L437" s="9">
        <v>2022</v>
      </c>
      <c r="M437" s="8" t="s">
        <v>2787</v>
      </c>
      <c r="N437" s="8" t="s">
        <v>42</v>
      </c>
      <c r="O437" s="8" t="s">
        <v>246</v>
      </c>
      <c r="P437" s="6" t="s">
        <v>44</v>
      </c>
      <c r="Q437" s="8" t="s">
        <v>45</v>
      </c>
      <c r="R437" s="10" t="s">
        <v>2788</v>
      </c>
      <c r="S437" s="11"/>
      <c r="T437" s="6"/>
      <c r="U437" s="24" t="str">
        <f>HYPERLINK("https://media.infra-m.ru/1872/1872859/cover/1872859.jpg", "Обложка")</f>
        <v>Обложка</v>
      </c>
      <c r="V437" s="24" t="str">
        <f>HYPERLINK("https://znanium.ru/catalog/product/1872859", "Ознакомиться")</f>
        <v>Ознакомиться</v>
      </c>
      <c r="W437" s="8" t="s">
        <v>2789</v>
      </c>
      <c r="X437" s="6"/>
      <c r="Y437" s="6"/>
      <c r="Z437" s="6"/>
      <c r="AA437" s="6" t="s">
        <v>111</v>
      </c>
      <c r="AB437" s="8"/>
    </row>
    <row r="438" spans="1:28" s="4" customFormat="1" ht="42" customHeight="1">
      <c r="A438" s="5">
        <v>0</v>
      </c>
      <c r="B438" s="6" t="s">
        <v>2790</v>
      </c>
      <c r="C438" s="13">
        <v>948</v>
      </c>
      <c r="D438" s="8" t="s">
        <v>2791</v>
      </c>
      <c r="E438" s="8" t="s">
        <v>2792</v>
      </c>
      <c r="F438" s="8" t="s">
        <v>2793</v>
      </c>
      <c r="G438" s="6" t="s">
        <v>38</v>
      </c>
      <c r="H438" s="6" t="s">
        <v>39</v>
      </c>
      <c r="I438" s="8" t="s">
        <v>40</v>
      </c>
      <c r="J438" s="9">
        <v>1</v>
      </c>
      <c r="K438" s="9">
        <v>165</v>
      </c>
      <c r="L438" s="9">
        <v>2024</v>
      </c>
      <c r="M438" s="8" t="s">
        <v>2794</v>
      </c>
      <c r="N438" s="8" t="s">
        <v>42</v>
      </c>
      <c r="O438" s="8" t="s">
        <v>43</v>
      </c>
      <c r="P438" s="6" t="s">
        <v>44</v>
      </c>
      <c r="Q438" s="8" t="s">
        <v>45</v>
      </c>
      <c r="R438" s="10" t="s">
        <v>46</v>
      </c>
      <c r="S438" s="11"/>
      <c r="T438" s="6"/>
      <c r="U438" s="24" t="str">
        <f>HYPERLINK("https://media.infra-m.ru/2135/2135241/cover/2135241.jpg", "Обложка")</f>
        <v>Обложка</v>
      </c>
      <c r="V438" s="24" t="str">
        <f>HYPERLINK("https://znanium.ru/catalog/product/2135241", "Ознакомиться")</f>
        <v>Ознакомиться</v>
      </c>
      <c r="W438" s="8" t="s">
        <v>2795</v>
      </c>
      <c r="X438" s="6"/>
      <c r="Y438" s="6"/>
      <c r="Z438" s="6"/>
      <c r="AA438" s="6" t="s">
        <v>199</v>
      </c>
      <c r="AB438" s="8"/>
    </row>
    <row r="439" spans="1:28" s="4" customFormat="1" ht="42" customHeight="1">
      <c r="A439" s="5">
        <v>0</v>
      </c>
      <c r="B439" s="6" t="s">
        <v>2796</v>
      </c>
      <c r="C439" s="13">
        <v>588</v>
      </c>
      <c r="D439" s="8" t="s">
        <v>2797</v>
      </c>
      <c r="E439" s="8" t="s">
        <v>2798</v>
      </c>
      <c r="F439" s="8" t="s">
        <v>2799</v>
      </c>
      <c r="G439" s="6" t="s">
        <v>132</v>
      </c>
      <c r="H439" s="6" t="s">
        <v>39</v>
      </c>
      <c r="I439" s="8"/>
      <c r="J439" s="9">
        <v>1</v>
      </c>
      <c r="K439" s="9">
        <v>154</v>
      </c>
      <c r="L439" s="9">
        <v>2025</v>
      </c>
      <c r="M439" s="8" t="s">
        <v>2800</v>
      </c>
      <c r="N439" s="8" t="s">
        <v>42</v>
      </c>
      <c r="O439" s="8" t="s">
        <v>65</v>
      </c>
      <c r="P439" s="6" t="s">
        <v>44</v>
      </c>
      <c r="Q439" s="8" t="s">
        <v>45</v>
      </c>
      <c r="R439" s="10"/>
      <c r="S439" s="11"/>
      <c r="T439" s="6"/>
      <c r="U439" s="24" t="str">
        <f>HYPERLINK("https://media.infra-m.ru/2223/2223589/cover/2223589.jpg", "Обложка")</f>
        <v>Обложка</v>
      </c>
      <c r="V439" s="12"/>
      <c r="W439" s="8" t="s">
        <v>305</v>
      </c>
      <c r="X439" s="6" t="s">
        <v>832</v>
      </c>
      <c r="Y439" s="6"/>
      <c r="Z439" s="6"/>
      <c r="AA439" s="6" t="s">
        <v>159</v>
      </c>
      <c r="AB439" s="8"/>
    </row>
    <row r="440" spans="1:28" s="4" customFormat="1" ht="44.1" customHeight="1">
      <c r="A440" s="5">
        <v>0</v>
      </c>
      <c r="B440" s="6" t="s">
        <v>2801</v>
      </c>
      <c r="C440" s="13">
        <v>588</v>
      </c>
      <c r="D440" s="8" t="s">
        <v>2802</v>
      </c>
      <c r="E440" s="8" t="s">
        <v>2803</v>
      </c>
      <c r="F440" s="8" t="s">
        <v>2804</v>
      </c>
      <c r="G440" s="6" t="s">
        <v>38</v>
      </c>
      <c r="H440" s="6" t="s">
        <v>326</v>
      </c>
      <c r="I440" s="8" t="s">
        <v>40</v>
      </c>
      <c r="J440" s="9">
        <v>1</v>
      </c>
      <c r="K440" s="9">
        <v>85</v>
      </c>
      <c r="L440" s="9">
        <v>2021</v>
      </c>
      <c r="M440" s="8" t="s">
        <v>2805</v>
      </c>
      <c r="N440" s="8" t="s">
        <v>42</v>
      </c>
      <c r="O440" s="8" t="s">
        <v>189</v>
      </c>
      <c r="P440" s="6" t="s">
        <v>44</v>
      </c>
      <c r="Q440" s="8" t="s">
        <v>1152</v>
      </c>
      <c r="R440" s="10" t="s">
        <v>2503</v>
      </c>
      <c r="S440" s="11"/>
      <c r="T440" s="6"/>
      <c r="U440" s="24" t="str">
        <f>HYPERLINK("https://media.infra-m.ru/1216/1216863/cover/1216863.jpg", "Обложка")</f>
        <v>Обложка</v>
      </c>
      <c r="V440" s="12"/>
      <c r="W440" s="8" t="s">
        <v>167</v>
      </c>
      <c r="X440" s="6"/>
      <c r="Y440" s="6"/>
      <c r="Z440" s="6"/>
      <c r="AA440" s="6" t="s">
        <v>377</v>
      </c>
      <c r="AB440" s="8"/>
    </row>
    <row r="441" spans="1:28" s="4" customFormat="1" ht="51.95" customHeight="1">
      <c r="A441" s="5">
        <v>0</v>
      </c>
      <c r="B441" s="6" t="s">
        <v>2806</v>
      </c>
      <c r="C441" s="7">
        <v>1116</v>
      </c>
      <c r="D441" s="8" t="s">
        <v>2807</v>
      </c>
      <c r="E441" s="8" t="s">
        <v>2808</v>
      </c>
      <c r="F441" s="8" t="s">
        <v>2809</v>
      </c>
      <c r="G441" s="6" t="s">
        <v>38</v>
      </c>
      <c r="H441" s="6" t="s">
        <v>39</v>
      </c>
      <c r="I441" s="8" t="s">
        <v>40</v>
      </c>
      <c r="J441" s="9">
        <v>1</v>
      </c>
      <c r="K441" s="9">
        <v>195</v>
      </c>
      <c r="L441" s="9">
        <v>2024</v>
      </c>
      <c r="M441" s="8" t="s">
        <v>2810</v>
      </c>
      <c r="N441" s="8" t="s">
        <v>54</v>
      </c>
      <c r="O441" s="8" t="s">
        <v>2811</v>
      </c>
      <c r="P441" s="6" t="s">
        <v>44</v>
      </c>
      <c r="Q441" s="8" t="s">
        <v>45</v>
      </c>
      <c r="R441" s="10" t="s">
        <v>2812</v>
      </c>
      <c r="S441" s="11"/>
      <c r="T441" s="6"/>
      <c r="U441" s="24" t="str">
        <f>HYPERLINK("https://media.infra-m.ru/2135/2135242/cover/2135242.jpg", "Обложка")</f>
        <v>Обложка</v>
      </c>
      <c r="V441" s="24" t="str">
        <f>HYPERLINK("https://znanium.ru/catalog/product/2135242", "Ознакомиться")</f>
        <v>Ознакомиться</v>
      </c>
      <c r="W441" s="8" t="s">
        <v>2813</v>
      </c>
      <c r="X441" s="6"/>
      <c r="Y441" s="6"/>
      <c r="Z441" s="6"/>
      <c r="AA441" s="6" t="s">
        <v>168</v>
      </c>
      <c r="AB441" s="8"/>
    </row>
    <row r="442" spans="1:28" s="4" customFormat="1" ht="44.1" customHeight="1">
      <c r="A442" s="5">
        <v>0</v>
      </c>
      <c r="B442" s="6" t="s">
        <v>2814</v>
      </c>
      <c r="C442" s="7">
        <v>1032</v>
      </c>
      <c r="D442" s="8" t="s">
        <v>2815</v>
      </c>
      <c r="E442" s="8" t="s">
        <v>2816</v>
      </c>
      <c r="F442" s="8" t="s">
        <v>2817</v>
      </c>
      <c r="G442" s="6" t="s">
        <v>38</v>
      </c>
      <c r="H442" s="6" t="s">
        <v>39</v>
      </c>
      <c r="I442" s="8" t="s">
        <v>40</v>
      </c>
      <c r="J442" s="9">
        <v>1</v>
      </c>
      <c r="K442" s="9">
        <v>181</v>
      </c>
      <c r="L442" s="9">
        <v>2023</v>
      </c>
      <c r="M442" s="8" t="s">
        <v>2818</v>
      </c>
      <c r="N442" s="8" t="s">
        <v>42</v>
      </c>
      <c r="O442" s="8" t="s">
        <v>189</v>
      </c>
      <c r="P442" s="6" t="s">
        <v>44</v>
      </c>
      <c r="Q442" s="8" t="s">
        <v>45</v>
      </c>
      <c r="R442" s="10" t="s">
        <v>2819</v>
      </c>
      <c r="S442" s="11"/>
      <c r="T442" s="6"/>
      <c r="U442" s="24" t="str">
        <f>HYPERLINK("https://media.infra-m.ru/1893/1893196/cover/1893196.jpg", "Обложка")</f>
        <v>Обложка</v>
      </c>
      <c r="V442" s="24" t="str">
        <f>HYPERLINK("https://znanium.ru/catalog/product/1893196", "Ознакомиться")</f>
        <v>Ознакомиться</v>
      </c>
      <c r="W442" s="8" t="s">
        <v>2820</v>
      </c>
      <c r="X442" s="6"/>
      <c r="Y442" s="6"/>
      <c r="Z442" s="6"/>
      <c r="AA442" s="6" t="s">
        <v>119</v>
      </c>
      <c r="AB442" s="8"/>
    </row>
    <row r="443" spans="1:28" s="4" customFormat="1" ht="42" customHeight="1">
      <c r="A443" s="5">
        <v>0</v>
      </c>
      <c r="B443" s="6" t="s">
        <v>2821</v>
      </c>
      <c r="C443" s="7">
        <v>1804.8</v>
      </c>
      <c r="D443" s="8" t="s">
        <v>2822</v>
      </c>
      <c r="E443" s="8" t="s">
        <v>2823</v>
      </c>
      <c r="F443" s="8" t="s">
        <v>1745</v>
      </c>
      <c r="G443" s="6" t="s">
        <v>81</v>
      </c>
      <c r="H443" s="6" t="s">
        <v>39</v>
      </c>
      <c r="I443" s="8" t="s">
        <v>40</v>
      </c>
      <c r="J443" s="9">
        <v>1</v>
      </c>
      <c r="K443" s="9">
        <v>301</v>
      </c>
      <c r="L443" s="9">
        <v>2024</v>
      </c>
      <c r="M443" s="8" t="s">
        <v>2824</v>
      </c>
      <c r="N443" s="8" t="s">
        <v>284</v>
      </c>
      <c r="O443" s="8" t="s">
        <v>328</v>
      </c>
      <c r="P443" s="6" t="s">
        <v>44</v>
      </c>
      <c r="Q443" s="8" t="s">
        <v>45</v>
      </c>
      <c r="R443" s="10" t="s">
        <v>2825</v>
      </c>
      <c r="S443" s="11"/>
      <c r="T443" s="6"/>
      <c r="U443" s="24" t="str">
        <f>HYPERLINK("https://media.infra-m.ru/2123/2123356/cover/2123356.jpg", "Обложка")</f>
        <v>Обложка</v>
      </c>
      <c r="V443" s="24" t="str">
        <f>HYPERLINK("https://znanium.ru/catalog/product/1904858", "Ознакомиться")</f>
        <v>Ознакомиться</v>
      </c>
      <c r="W443" s="8" t="s">
        <v>1362</v>
      </c>
      <c r="X443" s="6"/>
      <c r="Y443" s="6"/>
      <c r="Z443" s="6"/>
      <c r="AA443" s="6" t="s">
        <v>68</v>
      </c>
      <c r="AB443" s="8"/>
    </row>
    <row r="444" spans="1:28" s="4" customFormat="1" ht="44.1" customHeight="1">
      <c r="A444" s="5">
        <v>0</v>
      </c>
      <c r="B444" s="6" t="s">
        <v>2826</v>
      </c>
      <c r="C444" s="7">
        <v>1128</v>
      </c>
      <c r="D444" s="8" t="s">
        <v>2827</v>
      </c>
      <c r="E444" s="8" t="s">
        <v>2828</v>
      </c>
      <c r="F444" s="8" t="s">
        <v>2829</v>
      </c>
      <c r="G444" s="6" t="s">
        <v>38</v>
      </c>
      <c r="H444" s="6" t="s">
        <v>39</v>
      </c>
      <c r="I444" s="8" t="s">
        <v>344</v>
      </c>
      <c r="J444" s="9">
        <v>1</v>
      </c>
      <c r="K444" s="9">
        <v>203</v>
      </c>
      <c r="L444" s="9">
        <v>2024</v>
      </c>
      <c r="M444" s="8" t="s">
        <v>2830</v>
      </c>
      <c r="N444" s="8" t="s">
        <v>220</v>
      </c>
      <c r="O444" s="8" t="s">
        <v>252</v>
      </c>
      <c r="P444" s="6" t="s">
        <v>44</v>
      </c>
      <c r="Q444" s="8" t="s">
        <v>45</v>
      </c>
      <c r="R444" s="10" t="s">
        <v>2831</v>
      </c>
      <c r="S444" s="11"/>
      <c r="T444" s="6"/>
      <c r="U444" s="24" t="str">
        <f>HYPERLINK("https://media.infra-m.ru/2124/2124909/cover/2124909.jpg", "Обложка")</f>
        <v>Обложка</v>
      </c>
      <c r="V444" s="12"/>
      <c r="W444" s="8" t="s">
        <v>346</v>
      </c>
      <c r="X444" s="6"/>
      <c r="Y444" s="6"/>
      <c r="Z444" s="6"/>
      <c r="AA444" s="6" t="s">
        <v>68</v>
      </c>
      <c r="AB444" s="8"/>
    </row>
    <row r="445" spans="1:28" s="4" customFormat="1" ht="42" customHeight="1">
      <c r="A445" s="5">
        <v>0</v>
      </c>
      <c r="B445" s="6" t="s">
        <v>2832</v>
      </c>
      <c r="C445" s="7">
        <v>2129.9</v>
      </c>
      <c r="D445" s="8" t="s">
        <v>2833</v>
      </c>
      <c r="E445" s="8" t="s">
        <v>2834</v>
      </c>
      <c r="F445" s="8" t="s">
        <v>2835</v>
      </c>
      <c r="G445" s="6" t="s">
        <v>132</v>
      </c>
      <c r="H445" s="6" t="s">
        <v>39</v>
      </c>
      <c r="I445" s="8" t="s">
        <v>40</v>
      </c>
      <c r="J445" s="9">
        <v>1</v>
      </c>
      <c r="K445" s="9">
        <v>394</v>
      </c>
      <c r="L445" s="9">
        <v>2023</v>
      </c>
      <c r="M445" s="8" t="s">
        <v>2836</v>
      </c>
      <c r="N445" s="8" t="s">
        <v>284</v>
      </c>
      <c r="O445" s="8" t="s">
        <v>285</v>
      </c>
      <c r="P445" s="6" t="s">
        <v>44</v>
      </c>
      <c r="Q445" s="8" t="s">
        <v>45</v>
      </c>
      <c r="R445" s="10" t="s">
        <v>2837</v>
      </c>
      <c r="S445" s="11"/>
      <c r="T445" s="6"/>
      <c r="U445" s="24" t="str">
        <f>HYPERLINK("https://media.infra-m.ru/2006/2006912/cover/2006912.jpg", "Обложка")</f>
        <v>Обложка</v>
      </c>
      <c r="V445" s="24" t="str">
        <f>HYPERLINK("https://znanium.ru/catalog/product/946050", "Ознакомиться")</f>
        <v>Ознакомиться</v>
      </c>
      <c r="W445" s="8" t="s">
        <v>1323</v>
      </c>
      <c r="X445" s="6"/>
      <c r="Y445" s="6"/>
      <c r="Z445" s="6"/>
      <c r="AA445" s="6" t="s">
        <v>68</v>
      </c>
      <c r="AB445" s="8"/>
    </row>
    <row r="446" spans="1:28" s="4" customFormat="1" ht="51.95" customHeight="1">
      <c r="A446" s="5">
        <v>0</v>
      </c>
      <c r="B446" s="6" t="s">
        <v>2838</v>
      </c>
      <c r="C446" s="7">
        <v>1452</v>
      </c>
      <c r="D446" s="8" t="s">
        <v>2839</v>
      </c>
      <c r="E446" s="8" t="s">
        <v>2840</v>
      </c>
      <c r="F446" s="8" t="s">
        <v>2841</v>
      </c>
      <c r="G446" s="6" t="s">
        <v>132</v>
      </c>
      <c r="H446" s="6" t="s">
        <v>39</v>
      </c>
      <c r="I446" s="8" t="s">
        <v>40</v>
      </c>
      <c r="J446" s="9">
        <v>1</v>
      </c>
      <c r="K446" s="9">
        <v>211</v>
      </c>
      <c r="L446" s="9">
        <v>2026</v>
      </c>
      <c r="M446" s="8" t="s">
        <v>2842</v>
      </c>
      <c r="N446" s="8" t="s">
        <v>42</v>
      </c>
      <c r="O446" s="8" t="s">
        <v>101</v>
      </c>
      <c r="P446" s="6" t="s">
        <v>44</v>
      </c>
      <c r="Q446" s="8" t="s">
        <v>45</v>
      </c>
      <c r="R446" s="10" t="s">
        <v>2843</v>
      </c>
      <c r="S446" s="11"/>
      <c r="T446" s="6"/>
      <c r="U446" s="24" t="str">
        <f>HYPERLINK("https://media.infra-m.ru/2205/2205347/cover/2205347.jpg", "Обложка")</f>
        <v>Обложка</v>
      </c>
      <c r="V446" s="24" t="str">
        <f>HYPERLINK("https://znanium.ru/catalog/product/2205347", "Ознакомиться")</f>
        <v>Ознакомиться</v>
      </c>
      <c r="W446" s="8" t="s">
        <v>964</v>
      </c>
      <c r="X446" s="6" t="s">
        <v>1094</v>
      </c>
      <c r="Y446" s="6"/>
      <c r="Z446" s="6"/>
      <c r="AA446" s="6" t="s">
        <v>833</v>
      </c>
      <c r="AB446" s="8"/>
    </row>
    <row r="447" spans="1:28" s="4" customFormat="1" ht="44.1" customHeight="1">
      <c r="A447" s="5">
        <v>0</v>
      </c>
      <c r="B447" s="6" t="s">
        <v>2844</v>
      </c>
      <c r="C447" s="7">
        <v>2178</v>
      </c>
      <c r="D447" s="8" t="s">
        <v>2845</v>
      </c>
      <c r="E447" s="8" t="s">
        <v>2846</v>
      </c>
      <c r="F447" s="8" t="s">
        <v>2847</v>
      </c>
      <c r="G447" s="6" t="s">
        <v>132</v>
      </c>
      <c r="H447" s="6" t="s">
        <v>99</v>
      </c>
      <c r="I447" s="8"/>
      <c r="J447" s="9">
        <v>1</v>
      </c>
      <c r="K447" s="9">
        <v>352</v>
      </c>
      <c r="L447" s="9">
        <v>2023</v>
      </c>
      <c r="M447" s="8" t="s">
        <v>2848</v>
      </c>
      <c r="N447" s="8" t="s">
        <v>42</v>
      </c>
      <c r="O447" s="8" t="s">
        <v>101</v>
      </c>
      <c r="P447" s="6" t="s">
        <v>44</v>
      </c>
      <c r="Q447" s="8" t="s">
        <v>45</v>
      </c>
      <c r="R447" s="10" t="s">
        <v>2849</v>
      </c>
      <c r="S447" s="11"/>
      <c r="T447" s="6"/>
      <c r="U447" s="24" t="str">
        <f>HYPERLINK("https://media.infra-m.ru/2046/2046939/cover/2046939.jpg", "Обложка")</f>
        <v>Обложка</v>
      </c>
      <c r="V447" s="24" t="str">
        <f>HYPERLINK("https://znanium.ru/catalog/product/1983245", "Ознакомиться")</f>
        <v>Ознакомиться</v>
      </c>
      <c r="W447" s="8"/>
      <c r="X447" s="6"/>
      <c r="Y447" s="6"/>
      <c r="Z447" s="6"/>
      <c r="AA447" s="6" t="s">
        <v>119</v>
      </c>
      <c r="AB447" s="8"/>
    </row>
    <row r="448" spans="1:28" s="4" customFormat="1" ht="42" customHeight="1">
      <c r="A448" s="5">
        <v>0</v>
      </c>
      <c r="B448" s="6" t="s">
        <v>2850</v>
      </c>
      <c r="C448" s="13">
        <v>372</v>
      </c>
      <c r="D448" s="8" t="s">
        <v>2851</v>
      </c>
      <c r="E448" s="8" t="s">
        <v>2852</v>
      </c>
      <c r="F448" s="8" t="s">
        <v>1891</v>
      </c>
      <c r="G448" s="6" t="s">
        <v>38</v>
      </c>
      <c r="H448" s="6" t="s">
        <v>39</v>
      </c>
      <c r="I448" s="8" t="s">
        <v>1893</v>
      </c>
      <c r="J448" s="9">
        <v>1</v>
      </c>
      <c r="K448" s="9">
        <v>66</v>
      </c>
      <c r="L448" s="9">
        <v>2024</v>
      </c>
      <c r="M448" s="8" t="s">
        <v>2853</v>
      </c>
      <c r="N448" s="8" t="s">
        <v>42</v>
      </c>
      <c r="O448" s="8" t="s">
        <v>1315</v>
      </c>
      <c r="P448" s="6" t="s">
        <v>2854</v>
      </c>
      <c r="Q448" s="8" t="s">
        <v>287</v>
      </c>
      <c r="R448" s="10" t="s">
        <v>2855</v>
      </c>
      <c r="S448" s="11"/>
      <c r="T448" s="6"/>
      <c r="U448" s="24" t="str">
        <f>HYPERLINK("https://media.infra-m.ru/2146/2146186/cover/2146186.jpg", "Обложка")</f>
        <v>Обложка</v>
      </c>
      <c r="V448" s="24" t="str">
        <f>HYPERLINK("https://znanium.ru/catalog/product/2146186", "Ознакомиться")</f>
        <v>Ознакомиться</v>
      </c>
      <c r="W448" s="8"/>
      <c r="X448" s="6"/>
      <c r="Y448" s="6"/>
      <c r="Z448" s="6"/>
      <c r="AA448" s="6" t="s">
        <v>2773</v>
      </c>
      <c r="AB448" s="8"/>
    </row>
    <row r="449" spans="1:28" s="4" customFormat="1" ht="42" customHeight="1">
      <c r="A449" s="5">
        <v>0</v>
      </c>
      <c r="B449" s="6" t="s">
        <v>2856</v>
      </c>
      <c r="C449" s="13">
        <v>256.8</v>
      </c>
      <c r="D449" s="8" t="s">
        <v>2857</v>
      </c>
      <c r="E449" s="8" t="s">
        <v>2858</v>
      </c>
      <c r="F449" s="8" t="s">
        <v>1891</v>
      </c>
      <c r="G449" s="6" t="s">
        <v>38</v>
      </c>
      <c r="H449" s="6" t="s">
        <v>39</v>
      </c>
      <c r="I449" s="8" t="s">
        <v>1893</v>
      </c>
      <c r="J449" s="9">
        <v>1</v>
      </c>
      <c r="K449" s="9">
        <v>65</v>
      </c>
      <c r="L449" s="9">
        <v>2024</v>
      </c>
      <c r="M449" s="8" t="s">
        <v>2859</v>
      </c>
      <c r="N449" s="8" t="s">
        <v>42</v>
      </c>
      <c r="O449" s="8" t="s">
        <v>1315</v>
      </c>
      <c r="P449" s="6" t="s">
        <v>2854</v>
      </c>
      <c r="Q449" s="8" t="s">
        <v>287</v>
      </c>
      <c r="R449" s="10" t="s">
        <v>2855</v>
      </c>
      <c r="S449" s="11"/>
      <c r="T449" s="6"/>
      <c r="U449" s="24" t="str">
        <f>HYPERLINK("https://media.infra-m.ru/2081/2081084/cover/2081084.jpg", "Обложка")</f>
        <v>Обложка</v>
      </c>
      <c r="V449" s="24" t="str">
        <f>HYPERLINK("https://znanium.ru/catalog/product/2146186", "Ознакомиться")</f>
        <v>Ознакомиться</v>
      </c>
      <c r="W449" s="8"/>
      <c r="X449" s="6"/>
      <c r="Y449" s="6"/>
      <c r="Z449" s="6"/>
      <c r="AA449" s="6" t="s">
        <v>119</v>
      </c>
      <c r="AB449" s="8"/>
    </row>
    <row r="450" spans="1:28" s="4" customFormat="1" ht="42" customHeight="1">
      <c r="A450" s="5">
        <v>0</v>
      </c>
      <c r="B450" s="6" t="s">
        <v>2860</v>
      </c>
      <c r="C450" s="7">
        <v>1097.9000000000001</v>
      </c>
      <c r="D450" s="8" t="s">
        <v>2861</v>
      </c>
      <c r="E450" s="8" t="s">
        <v>2862</v>
      </c>
      <c r="F450" s="8" t="s">
        <v>2863</v>
      </c>
      <c r="G450" s="6" t="s">
        <v>38</v>
      </c>
      <c r="H450" s="6" t="s">
        <v>182</v>
      </c>
      <c r="I450" s="8" t="s">
        <v>40</v>
      </c>
      <c r="J450" s="9">
        <v>1</v>
      </c>
      <c r="K450" s="9">
        <v>204</v>
      </c>
      <c r="L450" s="9">
        <v>2023</v>
      </c>
      <c r="M450" s="8" t="s">
        <v>2864</v>
      </c>
      <c r="N450" s="8" t="s">
        <v>220</v>
      </c>
      <c r="O450" s="8" t="s">
        <v>252</v>
      </c>
      <c r="P450" s="6" t="s">
        <v>44</v>
      </c>
      <c r="Q450" s="8" t="s">
        <v>45</v>
      </c>
      <c r="R450" s="10" t="s">
        <v>2865</v>
      </c>
      <c r="S450" s="11"/>
      <c r="T450" s="6" t="s">
        <v>1080</v>
      </c>
      <c r="U450" s="24" t="str">
        <f>HYPERLINK("https://media.infra-m.ru/1894/1894477/cover/1894477.jpg", "Обложка")</f>
        <v>Обложка</v>
      </c>
      <c r="V450" s="24" t="str">
        <f>HYPERLINK("https://znanium.ru/catalog/product/1234850", "Ознакомиться")</f>
        <v>Ознакомиться</v>
      </c>
      <c r="W450" s="8" t="s">
        <v>2642</v>
      </c>
      <c r="X450" s="6"/>
      <c r="Y450" s="6"/>
      <c r="Z450" s="6"/>
      <c r="AA450" s="6" t="s">
        <v>339</v>
      </c>
      <c r="AB450" s="8"/>
    </row>
    <row r="451" spans="1:28" s="4" customFormat="1" ht="44.1" customHeight="1">
      <c r="A451" s="5">
        <v>0</v>
      </c>
      <c r="B451" s="6" t="s">
        <v>2866</v>
      </c>
      <c r="C451" s="7">
        <v>1596</v>
      </c>
      <c r="D451" s="8" t="s">
        <v>2867</v>
      </c>
      <c r="E451" s="8" t="s">
        <v>2868</v>
      </c>
      <c r="F451" s="8" t="s">
        <v>2869</v>
      </c>
      <c r="G451" s="6" t="s">
        <v>38</v>
      </c>
      <c r="H451" s="6" t="s">
        <v>39</v>
      </c>
      <c r="I451" s="8" t="s">
        <v>40</v>
      </c>
      <c r="J451" s="9">
        <v>1</v>
      </c>
      <c r="K451" s="9">
        <v>340</v>
      </c>
      <c r="L451" s="9">
        <v>2022</v>
      </c>
      <c r="M451" s="8" t="s">
        <v>2870</v>
      </c>
      <c r="N451" s="8" t="s">
        <v>54</v>
      </c>
      <c r="O451" s="8" t="s">
        <v>117</v>
      </c>
      <c r="P451" s="6" t="s">
        <v>44</v>
      </c>
      <c r="Q451" s="8" t="s">
        <v>45</v>
      </c>
      <c r="R451" s="10" t="s">
        <v>2871</v>
      </c>
      <c r="S451" s="11"/>
      <c r="T451" s="6"/>
      <c r="U451" s="24" t="str">
        <f>HYPERLINK("https://media.infra-m.ru/1864/1864236/cover/1864236.jpg", "Обложка")</f>
        <v>Обложка</v>
      </c>
      <c r="V451" s="24" t="str">
        <f>HYPERLINK("https://znanium.ru/catalog/product/1864236", "Ознакомиться")</f>
        <v>Ознакомиться</v>
      </c>
      <c r="W451" s="8" t="s">
        <v>2872</v>
      </c>
      <c r="X451" s="6"/>
      <c r="Y451" s="6"/>
      <c r="Z451" s="6"/>
      <c r="AA451" s="6" t="s">
        <v>127</v>
      </c>
      <c r="AB451" s="8"/>
    </row>
    <row r="452" spans="1:28" s="4" customFormat="1" ht="51.95" customHeight="1">
      <c r="A452" s="5">
        <v>0</v>
      </c>
      <c r="B452" s="6" t="s">
        <v>2873</v>
      </c>
      <c r="C452" s="13">
        <v>588</v>
      </c>
      <c r="D452" s="8" t="s">
        <v>2874</v>
      </c>
      <c r="E452" s="8" t="s">
        <v>2875</v>
      </c>
      <c r="F452" s="8" t="s">
        <v>2876</v>
      </c>
      <c r="G452" s="6" t="s">
        <v>38</v>
      </c>
      <c r="H452" s="6" t="s">
        <v>182</v>
      </c>
      <c r="I452" s="8" t="s">
        <v>40</v>
      </c>
      <c r="J452" s="9">
        <v>1</v>
      </c>
      <c r="K452" s="9">
        <v>100</v>
      </c>
      <c r="L452" s="9">
        <v>2023</v>
      </c>
      <c r="M452" s="8" t="s">
        <v>2877</v>
      </c>
      <c r="N452" s="8" t="s">
        <v>42</v>
      </c>
      <c r="O452" s="8" t="s">
        <v>1035</v>
      </c>
      <c r="P452" s="6" t="s">
        <v>44</v>
      </c>
      <c r="Q452" s="8" t="s">
        <v>45</v>
      </c>
      <c r="R452" s="10" t="s">
        <v>2878</v>
      </c>
      <c r="S452" s="11"/>
      <c r="T452" s="6"/>
      <c r="U452" s="24" t="str">
        <f>HYPERLINK("https://media.infra-m.ru/2038/2038254/cover/2038254.jpg", "Обложка")</f>
        <v>Обложка</v>
      </c>
      <c r="V452" s="24" t="str">
        <f>HYPERLINK("https://znanium.ru/catalog/product/2038254", "Ознакомиться")</f>
        <v>Ознакомиться</v>
      </c>
      <c r="W452" s="8" t="s">
        <v>2879</v>
      </c>
      <c r="X452" s="6"/>
      <c r="Y452" s="6"/>
      <c r="Z452" s="6"/>
      <c r="AA452" s="6" t="s">
        <v>377</v>
      </c>
      <c r="AB452" s="8"/>
    </row>
    <row r="453" spans="1:28" s="4" customFormat="1" ht="42" customHeight="1">
      <c r="A453" s="5">
        <v>0</v>
      </c>
      <c r="B453" s="6" t="s">
        <v>2880</v>
      </c>
      <c r="C453" s="7">
        <v>2904</v>
      </c>
      <c r="D453" s="8" t="s">
        <v>2881</v>
      </c>
      <c r="E453" s="8" t="s">
        <v>2882</v>
      </c>
      <c r="F453" s="8" t="s">
        <v>2883</v>
      </c>
      <c r="G453" s="6" t="s">
        <v>132</v>
      </c>
      <c r="H453" s="6" t="s">
        <v>39</v>
      </c>
      <c r="I453" s="8" t="s">
        <v>40</v>
      </c>
      <c r="J453" s="9">
        <v>1</v>
      </c>
      <c r="K453" s="9">
        <v>459</v>
      </c>
      <c r="L453" s="9">
        <v>2026</v>
      </c>
      <c r="M453" s="8" t="s">
        <v>2884</v>
      </c>
      <c r="N453" s="8" t="s">
        <v>42</v>
      </c>
      <c r="O453" s="8" t="s">
        <v>101</v>
      </c>
      <c r="P453" s="6" t="s">
        <v>44</v>
      </c>
      <c r="Q453" s="8" t="s">
        <v>45</v>
      </c>
      <c r="R453" s="10" t="s">
        <v>2885</v>
      </c>
      <c r="S453" s="11"/>
      <c r="T453" s="6"/>
      <c r="U453" s="24" t="str">
        <f>HYPERLINK("https://media.infra-m.ru/2220/2220297/cover/2220297.jpg", "Обложка")</f>
        <v>Обложка</v>
      </c>
      <c r="V453" s="24" t="str">
        <f>HYPERLINK("https://znanium.ru/catalog/product/2220297", "Ознакомиться")</f>
        <v>Ознакомиться</v>
      </c>
      <c r="W453" s="8" t="s">
        <v>1349</v>
      </c>
      <c r="X453" s="6"/>
      <c r="Y453" s="6"/>
      <c r="Z453" s="6"/>
      <c r="AA453" s="6" t="s">
        <v>321</v>
      </c>
      <c r="AB453" s="8" t="s">
        <v>1101</v>
      </c>
    </row>
    <row r="454" spans="1:28" s="4" customFormat="1" ht="51.95" customHeight="1">
      <c r="A454" s="5">
        <v>0</v>
      </c>
      <c r="B454" s="6" t="s">
        <v>2886</v>
      </c>
      <c r="C454" s="13">
        <v>869.9</v>
      </c>
      <c r="D454" s="8" t="s">
        <v>2887</v>
      </c>
      <c r="E454" s="8" t="s">
        <v>2888</v>
      </c>
      <c r="F454" s="8" t="s">
        <v>2889</v>
      </c>
      <c r="G454" s="6" t="s">
        <v>38</v>
      </c>
      <c r="H454" s="6" t="s">
        <v>99</v>
      </c>
      <c r="I454" s="8"/>
      <c r="J454" s="9">
        <v>1</v>
      </c>
      <c r="K454" s="9">
        <v>160</v>
      </c>
      <c r="L454" s="9">
        <v>2023</v>
      </c>
      <c r="M454" s="8" t="s">
        <v>2890</v>
      </c>
      <c r="N454" s="8" t="s">
        <v>42</v>
      </c>
      <c r="O454" s="8" t="s">
        <v>65</v>
      </c>
      <c r="P454" s="6" t="s">
        <v>44</v>
      </c>
      <c r="Q454" s="8" t="s">
        <v>45</v>
      </c>
      <c r="R454" s="10" t="s">
        <v>2891</v>
      </c>
      <c r="S454" s="11"/>
      <c r="T454" s="6"/>
      <c r="U454" s="24" t="str">
        <f>HYPERLINK("https://media.infra-m.ru/2038/2038262/cover/2038262.jpg", "Обложка")</f>
        <v>Обложка</v>
      </c>
      <c r="V454" s="24" t="str">
        <f>HYPERLINK("https://znanium.ru/catalog/product/496820", "Ознакомиться")</f>
        <v>Ознакомиться</v>
      </c>
      <c r="W454" s="8" t="s">
        <v>2892</v>
      </c>
      <c r="X454" s="6"/>
      <c r="Y454" s="6"/>
      <c r="Z454" s="6"/>
      <c r="AA454" s="6" t="s">
        <v>377</v>
      </c>
      <c r="AB454" s="8"/>
    </row>
    <row r="455" spans="1:28" s="4" customFormat="1" ht="51.95" customHeight="1">
      <c r="A455" s="5">
        <v>0</v>
      </c>
      <c r="B455" s="6" t="s">
        <v>2893</v>
      </c>
      <c r="C455" s="7">
        <v>1152</v>
      </c>
      <c r="D455" s="8" t="s">
        <v>2894</v>
      </c>
      <c r="E455" s="8" t="s">
        <v>2895</v>
      </c>
      <c r="F455" s="8" t="s">
        <v>2896</v>
      </c>
      <c r="G455" s="6" t="s">
        <v>81</v>
      </c>
      <c r="H455" s="6" t="s">
        <v>99</v>
      </c>
      <c r="I455" s="8"/>
      <c r="J455" s="9">
        <v>1</v>
      </c>
      <c r="K455" s="9">
        <v>192</v>
      </c>
      <c r="L455" s="9">
        <v>2025</v>
      </c>
      <c r="M455" s="8" t="s">
        <v>2897</v>
      </c>
      <c r="N455" s="8" t="s">
        <v>42</v>
      </c>
      <c r="O455" s="8" t="s">
        <v>101</v>
      </c>
      <c r="P455" s="6" t="s">
        <v>44</v>
      </c>
      <c r="Q455" s="8" t="s">
        <v>45</v>
      </c>
      <c r="R455" s="10" t="s">
        <v>2898</v>
      </c>
      <c r="S455" s="11"/>
      <c r="T455" s="6"/>
      <c r="U455" s="24" t="str">
        <f>HYPERLINK("https://media.infra-m.ru/2162/2162360/cover/2162360.jpg", "Обложка")</f>
        <v>Обложка</v>
      </c>
      <c r="V455" s="24" t="str">
        <f>HYPERLINK("https://znanium.ru/catalog/product/2162360", "Ознакомиться")</f>
        <v>Ознакомиться</v>
      </c>
      <c r="W455" s="8" t="s">
        <v>2281</v>
      </c>
      <c r="X455" s="6"/>
      <c r="Y455" s="6"/>
      <c r="Z455" s="6"/>
      <c r="AA455" s="6" t="s">
        <v>168</v>
      </c>
      <c r="AB455" s="8"/>
    </row>
    <row r="456" spans="1:28" s="4" customFormat="1" ht="44.1" customHeight="1">
      <c r="A456" s="5">
        <v>0</v>
      </c>
      <c r="B456" s="6" t="s">
        <v>2899</v>
      </c>
      <c r="C456" s="7">
        <v>1512</v>
      </c>
      <c r="D456" s="8" t="s">
        <v>2900</v>
      </c>
      <c r="E456" s="8" t="s">
        <v>2901</v>
      </c>
      <c r="F456" s="8" t="s">
        <v>2902</v>
      </c>
      <c r="G456" s="6" t="s">
        <v>81</v>
      </c>
      <c r="H456" s="6" t="s">
        <v>99</v>
      </c>
      <c r="I456" s="8"/>
      <c r="J456" s="9">
        <v>1</v>
      </c>
      <c r="K456" s="9">
        <v>272</v>
      </c>
      <c r="L456" s="9">
        <v>2023</v>
      </c>
      <c r="M456" s="8" t="s">
        <v>2903</v>
      </c>
      <c r="N456" s="8" t="s">
        <v>42</v>
      </c>
      <c r="O456" s="8" t="s">
        <v>101</v>
      </c>
      <c r="P456" s="6" t="s">
        <v>44</v>
      </c>
      <c r="Q456" s="8" t="s">
        <v>1152</v>
      </c>
      <c r="R456" s="10" t="s">
        <v>1765</v>
      </c>
      <c r="S456" s="11"/>
      <c r="T456" s="6"/>
      <c r="U456" s="24" t="str">
        <f>HYPERLINK("https://media.infra-m.ru/2048/2048087/cover/2048087.jpg", "Обложка")</f>
        <v>Обложка</v>
      </c>
      <c r="V456" s="24" t="str">
        <f>HYPERLINK("https://znanium.ru/catalog/product/2048087", "Ознакомиться")</f>
        <v>Ознакомиться</v>
      </c>
      <c r="W456" s="8" t="s">
        <v>1627</v>
      </c>
      <c r="X456" s="6"/>
      <c r="Y456" s="6"/>
      <c r="Z456" s="6"/>
      <c r="AA456" s="6" t="s">
        <v>369</v>
      </c>
      <c r="AB456" s="8"/>
    </row>
    <row r="457" spans="1:28" s="4" customFormat="1" ht="42" customHeight="1">
      <c r="A457" s="5">
        <v>0</v>
      </c>
      <c r="B457" s="6" t="s">
        <v>2904</v>
      </c>
      <c r="C457" s="7">
        <v>1068</v>
      </c>
      <c r="D457" s="8" t="s">
        <v>2905</v>
      </c>
      <c r="E457" s="8" t="s">
        <v>2906</v>
      </c>
      <c r="F457" s="8" t="s">
        <v>1620</v>
      </c>
      <c r="G457" s="6" t="s">
        <v>38</v>
      </c>
      <c r="H457" s="6" t="s">
        <v>39</v>
      </c>
      <c r="I457" s="8" t="s">
        <v>40</v>
      </c>
      <c r="J457" s="9">
        <v>1</v>
      </c>
      <c r="K457" s="9">
        <v>189</v>
      </c>
      <c r="L457" s="9">
        <v>2024</v>
      </c>
      <c r="M457" s="8" t="s">
        <v>2907</v>
      </c>
      <c r="N457" s="8" t="s">
        <v>42</v>
      </c>
      <c r="O457" s="8" t="s">
        <v>101</v>
      </c>
      <c r="P457" s="6" t="s">
        <v>44</v>
      </c>
      <c r="Q457" s="8" t="s">
        <v>45</v>
      </c>
      <c r="R457" s="10" t="s">
        <v>564</v>
      </c>
      <c r="S457" s="11"/>
      <c r="T457" s="6"/>
      <c r="U457" s="24" t="str">
        <f>HYPERLINK("https://media.infra-m.ru/2139/2139291/cover/2139291.jpg", "Обложка")</f>
        <v>Обложка</v>
      </c>
      <c r="V457" s="24" t="str">
        <f>HYPERLINK("https://znanium.ru/catalog/product/2139291", "Ознакомиться")</f>
        <v>Ознакомиться</v>
      </c>
      <c r="W457" s="8" t="s">
        <v>693</v>
      </c>
      <c r="X457" s="6"/>
      <c r="Y457" s="6"/>
      <c r="Z457" s="6"/>
      <c r="AA457" s="6" t="s">
        <v>68</v>
      </c>
      <c r="AB457" s="8"/>
    </row>
    <row r="458" spans="1:28" s="4" customFormat="1" ht="42" customHeight="1">
      <c r="A458" s="5">
        <v>0</v>
      </c>
      <c r="B458" s="6" t="s">
        <v>2908</v>
      </c>
      <c r="C458" s="13">
        <v>900</v>
      </c>
      <c r="D458" s="8" t="s">
        <v>2909</v>
      </c>
      <c r="E458" s="8" t="s">
        <v>2910</v>
      </c>
      <c r="F458" s="8" t="s">
        <v>2911</v>
      </c>
      <c r="G458" s="6" t="s">
        <v>38</v>
      </c>
      <c r="H458" s="6" t="s">
        <v>39</v>
      </c>
      <c r="I458" s="8" t="s">
        <v>40</v>
      </c>
      <c r="J458" s="9">
        <v>1</v>
      </c>
      <c r="K458" s="9">
        <v>198</v>
      </c>
      <c r="L458" s="9">
        <v>2022</v>
      </c>
      <c r="M458" s="8" t="s">
        <v>2912</v>
      </c>
      <c r="N458" s="8" t="s">
        <v>42</v>
      </c>
      <c r="O458" s="8" t="s">
        <v>101</v>
      </c>
      <c r="P458" s="6" t="s">
        <v>44</v>
      </c>
      <c r="Q458" s="8" t="s">
        <v>45</v>
      </c>
      <c r="R458" s="10" t="s">
        <v>2490</v>
      </c>
      <c r="S458" s="11"/>
      <c r="T458" s="6"/>
      <c r="U458" s="24" t="str">
        <f>HYPERLINK("https://media.infra-m.ru/1759/1759764/cover/1759764.jpg", "Обложка")</f>
        <v>Обложка</v>
      </c>
      <c r="V458" s="24" t="str">
        <f>HYPERLINK("https://znanium.ru/catalog/product/546574", "Ознакомиться")</f>
        <v>Ознакомиться</v>
      </c>
      <c r="W458" s="8" t="s">
        <v>2913</v>
      </c>
      <c r="X458" s="6"/>
      <c r="Y458" s="6"/>
      <c r="Z458" s="6"/>
      <c r="AA458" s="6" t="s">
        <v>127</v>
      </c>
      <c r="AB458" s="8"/>
    </row>
    <row r="459" spans="1:28" s="4" customFormat="1" ht="42" customHeight="1">
      <c r="A459" s="5">
        <v>0</v>
      </c>
      <c r="B459" s="6" t="s">
        <v>2914</v>
      </c>
      <c r="C459" s="7">
        <v>1860</v>
      </c>
      <c r="D459" s="8" t="s">
        <v>2915</v>
      </c>
      <c r="E459" s="8" t="s">
        <v>2916</v>
      </c>
      <c r="F459" s="8" t="s">
        <v>2917</v>
      </c>
      <c r="G459" s="6" t="s">
        <v>81</v>
      </c>
      <c r="H459" s="6" t="s">
        <v>99</v>
      </c>
      <c r="I459" s="8"/>
      <c r="J459" s="9">
        <v>1</v>
      </c>
      <c r="K459" s="9">
        <v>336</v>
      </c>
      <c r="L459" s="9">
        <v>2024</v>
      </c>
      <c r="M459" s="8" t="s">
        <v>2918</v>
      </c>
      <c r="N459" s="8" t="s">
        <v>42</v>
      </c>
      <c r="O459" s="8" t="s">
        <v>101</v>
      </c>
      <c r="P459" s="6" t="s">
        <v>44</v>
      </c>
      <c r="Q459" s="8" t="s">
        <v>45</v>
      </c>
      <c r="R459" s="10" t="s">
        <v>2490</v>
      </c>
      <c r="S459" s="11"/>
      <c r="T459" s="6"/>
      <c r="U459" s="24" t="str">
        <f>HYPERLINK("https://media.infra-m.ru/2130/2130736/cover/2130736.jpg", "Обложка")</f>
        <v>Обложка</v>
      </c>
      <c r="V459" s="24" t="str">
        <f>HYPERLINK("https://znanium.ru/catalog/product/2130736", "Ознакомиться")</f>
        <v>Ознакомиться</v>
      </c>
      <c r="W459" s="8" t="s">
        <v>103</v>
      </c>
      <c r="X459" s="6"/>
      <c r="Y459" s="6"/>
      <c r="Z459" s="6"/>
      <c r="AA459" s="6" t="s">
        <v>68</v>
      </c>
      <c r="AB459" s="8"/>
    </row>
    <row r="460" spans="1:28" s="4" customFormat="1" ht="42" customHeight="1">
      <c r="A460" s="5">
        <v>0</v>
      </c>
      <c r="B460" s="6" t="s">
        <v>2919</v>
      </c>
      <c r="C460" s="7">
        <v>1084.8</v>
      </c>
      <c r="D460" s="8" t="s">
        <v>2920</v>
      </c>
      <c r="E460" s="8" t="s">
        <v>2921</v>
      </c>
      <c r="F460" s="8" t="s">
        <v>2922</v>
      </c>
      <c r="G460" s="6" t="s">
        <v>38</v>
      </c>
      <c r="H460" s="6" t="s">
        <v>99</v>
      </c>
      <c r="I460" s="8"/>
      <c r="J460" s="9">
        <v>1</v>
      </c>
      <c r="K460" s="9">
        <v>192</v>
      </c>
      <c r="L460" s="9">
        <v>2024</v>
      </c>
      <c r="M460" s="8" t="s">
        <v>2923</v>
      </c>
      <c r="N460" s="8" t="s">
        <v>42</v>
      </c>
      <c r="O460" s="8" t="s">
        <v>101</v>
      </c>
      <c r="P460" s="6" t="s">
        <v>44</v>
      </c>
      <c r="Q460" s="8" t="s">
        <v>45</v>
      </c>
      <c r="R460" s="10" t="s">
        <v>2924</v>
      </c>
      <c r="S460" s="11"/>
      <c r="T460" s="6"/>
      <c r="U460" s="24" t="str">
        <f>HYPERLINK("https://media.infra-m.ru/2133/2133758/cover/2133758.jpg", "Обложка")</f>
        <v>Обложка</v>
      </c>
      <c r="V460" s="24" t="str">
        <f>HYPERLINK("https://znanium.ru/catalog/product/1013828", "Ознакомиться")</f>
        <v>Ознакомиться</v>
      </c>
      <c r="W460" s="8" t="s">
        <v>516</v>
      </c>
      <c r="X460" s="6"/>
      <c r="Y460" s="6"/>
      <c r="Z460" s="6"/>
      <c r="AA460" s="6" t="s">
        <v>290</v>
      </c>
      <c r="AB460" s="8"/>
    </row>
    <row r="461" spans="1:28" s="4" customFormat="1" ht="44.1" customHeight="1">
      <c r="A461" s="5">
        <v>0</v>
      </c>
      <c r="B461" s="6" t="s">
        <v>2925</v>
      </c>
      <c r="C461" s="7">
        <v>1980</v>
      </c>
      <c r="D461" s="8" t="s">
        <v>2926</v>
      </c>
      <c r="E461" s="8" t="s">
        <v>2927</v>
      </c>
      <c r="F461" s="8" t="s">
        <v>2928</v>
      </c>
      <c r="G461" s="6" t="s">
        <v>132</v>
      </c>
      <c r="H461" s="6" t="s">
        <v>99</v>
      </c>
      <c r="I461" s="8"/>
      <c r="J461" s="9">
        <v>1</v>
      </c>
      <c r="K461" s="9">
        <v>296</v>
      </c>
      <c r="L461" s="9">
        <v>2025</v>
      </c>
      <c r="M461" s="8" t="s">
        <v>2929</v>
      </c>
      <c r="N461" s="8" t="s">
        <v>42</v>
      </c>
      <c r="O461" s="8" t="s">
        <v>101</v>
      </c>
      <c r="P461" s="6" t="s">
        <v>44</v>
      </c>
      <c r="Q461" s="8" t="s">
        <v>45</v>
      </c>
      <c r="R461" s="10" t="s">
        <v>692</v>
      </c>
      <c r="S461" s="11"/>
      <c r="T461" s="6"/>
      <c r="U461" s="24" t="str">
        <f>HYPERLINK("https://media.infra-m.ru/2185/2185047/cover/2185047.jpg", "Обложка")</f>
        <v>Обложка</v>
      </c>
      <c r="V461" s="12"/>
      <c r="W461" s="8"/>
      <c r="X461" s="6"/>
      <c r="Y461" s="6"/>
      <c r="Z461" s="6"/>
      <c r="AA461" s="6" t="s">
        <v>159</v>
      </c>
      <c r="AB461" s="8"/>
    </row>
    <row r="462" spans="1:28" s="4" customFormat="1" ht="51.95" customHeight="1">
      <c r="A462" s="5">
        <v>0</v>
      </c>
      <c r="B462" s="6" t="s">
        <v>2930</v>
      </c>
      <c r="C462" s="7">
        <v>1324.8</v>
      </c>
      <c r="D462" s="8" t="s">
        <v>2931</v>
      </c>
      <c r="E462" s="8" t="s">
        <v>2932</v>
      </c>
      <c r="F462" s="8" t="s">
        <v>2933</v>
      </c>
      <c r="G462" s="6" t="s">
        <v>132</v>
      </c>
      <c r="H462" s="6" t="s">
        <v>99</v>
      </c>
      <c r="I462" s="8"/>
      <c r="J462" s="9">
        <v>1</v>
      </c>
      <c r="K462" s="9">
        <v>240</v>
      </c>
      <c r="L462" s="9">
        <v>2024</v>
      </c>
      <c r="M462" s="8" t="s">
        <v>2934</v>
      </c>
      <c r="N462" s="8" t="s">
        <v>42</v>
      </c>
      <c r="O462" s="8" t="s">
        <v>101</v>
      </c>
      <c r="P462" s="6" t="s">
        <v>44</v>
      </c>
      <c r="Q462" s="8" t="s">
        <v>45</v>
      </c>
      <c r="R462" s="10" t="s">
        <v>680</v>
      </c>
      <c r="S462" s="11"/>
      <c r="T462" s="6"/>
      <c r="U462" s="24" t="str">
        <f>HYPERLINK("https://media.infra-m.ru/2117/2117602/cover/2117602.jpg", "Обложка")</f>
        <v>Обложка</v>
      </c>
      <c r="V462" s="24" t="str">
        <f>HYPERLINK("https://znanium.ru/catalog/product/2113853", "Ознакомиться")</f>
        <v>Ознакомиться</v>
      </c>
      <c r="W462" s="8" t="s">
        <v>2935</v>
      </c>
      <c r="X462" s="6"/>
      <c r="Y462" s="6"/>
      <c r="Z462" s="6"/>
      <c r="AA462" s="6" t="s">
        <v>2288</v>
      </c>
      <c r="AB462" s="8"/>
    </row>
    <row r="463" spans="1:28" s="4" customFormat="1" ht="51.95" customHeight="1">
      <c r="A463" s="5">
        <v>0</v>
      </c>
      <c r="B463" s="6" t="s">
        <v>2936</v>
      </c>
      <c r="C463" s="7">
        <v>1821.6</v>
      </c>
      <c r="D463" s="8" t="s">
        <v>2937</v>
      </c>
      <c r="E463" s="8" t="s">
        <v>2938</v>
      </c>
      <c r="F463" s="8" t="s">
        <v>2939</v>
      </c>
      <c r="G463" s="6" t="s">
        <v>132</v>
      </c>
      <c r="H463" s="6" t="s">
        <v>99</v>
      </c>
      <c r="I463" s="8"/>
      <c r="J463" s="9">
        <v>1</v>
      </c>
      <c r="K463" s="9">
        <v>284</v>
      </c>
      <c r="L463" s="9">
        <v>2025</v>
      </c>
      <c r="M463" s="8" t="s">
        <v>2940</v>
      </c>
      <c r="N463" s="8" t="s">
        <v>42</v>
      </c>
      <c r="O463" s="8" t="s">
        <v>101</v>
      </c>
      <c r="P463" s="6" t="s">
        <v>44</v>
      </c>
      <c r="Q463" s="8" t="s">
        <v>287</v>
      </c>
      <c r="R463" s="10" t="s">
        <v>1329</v>
      </c>
      <c r="S463" s="11"/>
      <c r="T463" s="6"/>
      <c r="U463" s="24" t="str">
        <f>HYPERLINK("https://media.infra-m.ru/2196/2196816/cover/2196816.jpg", "Обложка")</f>
        <v>Обложка</v>
      </c>
      <c r="V463" s="24" t="str">
        <f>HYPERLINK("https://znanium.ru/catalog/product/2170604", "Ознакомиться")</f>
        <v>Ознакомиться</v>
      </c>
      <c r="W463" s="8" t="s">
        <v>565</v>
      </c>
      <c r="X463" s="6"/>
      <c r="Y463" s="6"/>
      <c r="Z463" s="6"/>
      <c r="AA463" s="6" t="s">
        <v>159</v>
      </c>
      <c r="AB463" s="8"/>
    </row>
    <row r="464" spans="1:28" s="4" customFormat="1" ht="42" customHeight="1">
      <c r="A464" s="5">
        <v>0</v>
      </c>
      <c r="B464" s="6" t="s">
        <v>2941</v>
      </c>
      <c r="C464" s="7">
        <v>2788.8</v>
      </c>
      <c r="D464" s="8" t="s">
        <v>2942</v>
      </c>
      <c r="E464" s="8" t="s">
        <v>2943</v>
      </c>
      <c r="F464" s="8" t="s">
        <v>2944</v>
      </c>
      <c r="G464" s="6" t="s">
        <v>81</v>
      </c>
      <c r="H464" s="6" t="s">
        <v>99</v>
      </c>
      <c r="I464" s="8"/>
      <c r="J464" s="9">
        <v>1</v>
      </c>
      <c r="K464" s="9">
        <v>448</v>
      </c>
      <c r="L464" s="9">
        <v>2024</v>
      </c>
      <c r="M464" s="8" t="s">
        <v>2945</v>
      </c>
      <c r="N464" s="8" t="s">
        <v>42</v>
      </c>
      <c r="O464" s="8" t="s">
        <v>101</v>
      </c>
      <c r="P464" s="6" t="s">
        <v>44</v>
      </c>
      <c r="Q464" s="8" t="s">
        <v>45</v>
      </c>
      <c r="R464" s="10" t="s">
        <v>2946</v>
      </c>
      <c r="S464" s="11"/>
      <c r="T464" s="6"/>
      <c r="U464" s="24" t="str">
        <f>HYPERLINK("https://media.infra-m.ru/2146/2146811/cover/2146811.jpg", "Обложка")</f>
        <v>Обложка</v>
      </c>
      <c r="V464" s="24" t="str">
        <f>HYPERLINK("https://znanium.ru/catalog/product/2048088", "Ознакомиться")</f>
        <v>Ознакомиться</v>
      </c>
      <c r="W464" s="8" t="s">
        <v>418</v>
      </c>
      <c r="X464" s="6"/>
      <c r="Y464" s="6"/>
      <c r="Z464" s="6"/>
      <c r="AA464" s="6" t="s">
        <v>1363</v>
      </c>
      <c r="AB464" s="8"/>
    </row>
    <row r="465" spans="1:28" s="4" customFormat="1" ht="42" customHeight="1">
      <c r="A465" s="5">
        <v>0</v>
      </c>
      <c r="B465" s="6" t="s">
        <v>2947</v>
      </c>
      <c r="C465" s="7">
        <v>1572</v>
      </c>
      <c r="D465" s="8" t="s">
        <v>2948</v>
      </c>
      <c r="E465" s="8" t="s">
        <v>2949</v>
      </c>
      <c r="F465" s="8" t="s">
        <v>2944</v>
      </c>
      <c r="G465" s="6" t="s">
        <v>132</v>
      </c>
      <c r="H465" s="6" t="s">
        <v>99</v>
      </c>
      <c r="I465" s="8"/>
      <c r="J465" s="9">
        <v>1</v>
      </c>
      <c r="K465" s="9">
        <v>384</v>
      </c>
      <c r="L465" s="9">
        <v>2019</v>
      </c>
      <c r="M465" s="8" t="s">
        <v>2950</v>
      </c>
      <c r="N465" s="8" t="s">
        <v>42</v>
      </c>
      <c r="O465" s="8" t="s">
        <v>101</v>
      </c>
      <c r="P465" s="6" t="s">
        <v>44</v>
      </c>
      <c r="Q465" s="8" t="s">
        <v>45</v>
      </c>
      <c r="R465" s="10" t="s">
        <v>2946</v>
      </c>
      <c r="S465" s="11"/>
      <c r="T465" s="6"/>
      <c r="U465" s="24" t="str">
        <f>HYPERLINK("https://media.infra-m.ru/1001/1001980/cover/1001980.jpg", "Обложка")</f>
        <v>Обложка</v>
      </c>
      <c r="V465" s="24" t="str">
        <f>HYPERLINK("https://znanium.ru/catalog/product/2048088", "Ознакомиться")</f>
        <v>Ознакомиться</v>
      </c>
      <c r="W465" s="8" t="s">
        <v>418</v>
      </c>
      <c r="X465" s="6"/>
      <c r="Y465" s="6"/>
      <c r="Z465" s="6"/>
      <c r="AA465" s="6" t="s">
        <v>339</v>
      </c>
      <c r="AB465" s="8"/>
    </row>
    <row r="466" spans="1:28" s="4" customFormat="1" ht="44.1" customHeight="1">
      <c r="A466" s="5">
        <v>0</v>
      </c>
      <c r="B466" s="6" t="s">
        <v>2951</v>
      </c>
      <c r="C466" s="7">
        <v>2268</v>
      </c>
      <c r="D466" s="8" t="s">
        <v>2952</v>
      </c>
      <c r="E466" s="8" t="s">
        <v>2953</v>
      </c>
      <c r="F466" s="8" t="s">
        <v>2954</v>
      </c>
      <c r="G466" s="6" t="s">
        <v>132</v>
      </c>
      <c r="H466" s="6" t="s">
        <v>39</v>
      </c>
      <c r="I466" s="8" t="s">
        <v>40</v>
      </c>
      <c r="J466" s="9">
        <v>1</v>
      </c>
      <c r="K466" s="9">
        <v>480</v>
      </c>
      <c r="L466" s="9">
        <v>2022</v>
      </c>
      <c r="M466" s="8" t="s">
        <v>2955</v>
      </c>
      <c r="N466" s="8" t="s">
        <v>42</v>
      </c>
      <c r="O466" s="8" t="s">
        <v>101</v>
      </c>
      <c r="P466" s="6" t="s">
        <v>44</v>
      </c>
      <c r="Q466" s="8" t="s">
        <v>45</v>
      </c>
      <c r="R466" s="10" t="s">
        <v>2956</v>
      </c>
      <c r="S466" s="11"/>
      <c r="T466" s="6"/>
      <c r="U466" s="24" t="str">
        <f>HYPERLINK("https://media.infra-m.ru/1819/1819040/cover/1819040.jpg", "Обложка")</f>
        <v>Обложка</v>
      </c>
      <c r="V466" s="24" t="str">
        <f>HYPERLINK("https://znanium.ru/catalog/product/1819040", "Ознакомиться")</f>
        <v>Ознакомиться</v>
      </c>
      <c r="W466" s="8" t="s">
        <v>2957</v>
      </c>
      <c r="X466" s="6"/>
      <c r="Y466" s="6"/>
      <c r="Z466" s="6"/>
      <c r="AA466" s="6" t="s">
        <v>111</v>
      </c>
      <c r="AB466" s="8"/>
    </row>
    <row r="467" spans="1:28" s="4" customFormat="1" ht="51.95" customHeight="1">
      <c r="A467" s="5">
        <v>0</v>
      </c>
      <c r="B467" s="6" t="s">
        <v>2958</v>
      </c>
      <c r="C467" s="13">
        <v>684</v>
      </c>
      <c r="D467" s="8" t="s">
        <v>2959</v>
      </c>
      <c r="E467" s="8" t="s">
        <v>2960</v>
      </c>
      <c r="F467" s="8" t="s">
        <v>2961</v>
      </c>
      <c r="G467" s="6" t="s">
        <v>38</v>
      </c>
      <c r="H467" s="6" t="s">
        <v>39</v>
      </c>
      <c r="I467" s="8" t="s">
        <v>40</v>
      </c>
      <c r="J467" s="9">
        <v>1</v>
      </c>
      <c r="K467" s="9">
        <v>119</v>
      </c>
      <c r="L467" s="9">
        <v>2024</v>
      </c>
      <c r="M467" s="8" t="s">
        <v>2962</v>
      </c>
      <c r="N467" s="8" t="s">
        <v>42</v>
      </c>
      <c r="O467" s="8" t="s">
        <v>101</v>
      </c>
      <c r="P467" s="6" t="s">
        <v>44</v>
      </c>
      <c r="Q467" s="8" t="s">
        <v>45</v>
      </c>
      <c r="R467" s="10" t="s">
        <v>2547</v>
      </c>
      <c r="S467" s="11"/>
      <c r="T467" s="6"/>
      <c r="U467" s="24" t="str">
        <f>HYPERLINK("https://media.infra-m.ru/2078/2078386/cover/2078386.jpg", "Обложка")</f>
        <v>Обложка</v>
      </c>
      <c r="V467" s="24" t="str">
        <f>HYPERLINK("https://znanium.ru/catalog/product/2078386", "Ознакомиться")</f>
        <v>Ознакомиться</v>
      </c>
      <c r="W467" s="8" t="s">
        <v>103</v>
      </c>
      <c r="X467" s="6"/>
      <c r="Y467" s="6"/>
      <c r="Z467" s="6"/>
      <c r="AA467" s="6" t="s">
        <v>68</v>
      </c>
      <c r="AB467" s="8"/>
    </row>
    <row r="468" spans="1:28" s="4" customFormat="1" ht="42" customHeight="1">
      <c r="A468" s="5">
        <v>0</v>
      </c>
      <c r="B468" s="6" t="s">
        <v>2963</v>
      </c>
      <c r="C468" s="7">
        <v>2820</v>
      </c>
      <c r="D468" s="8" t="s">
        <v>2964</v>
      </c>
      <c r="E468" s="8" t="s">
        <v>2965</v>
      </c>
      <c r="F468" s="8" t="s">
        <v>2966</v>
      </c>
      <c r="G468" s="6" t="s">
        <v>81</v>
      </c>
      <c r="H468" s="6" t="s">
        <v>99</v>
      </c>
      <c r="I468" s="8"/>
      <c r="J468" s="9">
        <v>1</v>
      </c>
      <c r="K468" s="9">
        <v>452</v>
      </c>
      <c r="L468" s="9">
        <v>2025</v>
      </c>
      <c r="M468" s="8" t="s">
        <v>2967</v>
      </c>
      <c r="N468" s="8" t="s">
        <v>42</v>
      </c>
      <c r="O468" s="8" t="s">
        <v>101</v>
      </c>
      <c r="P468" s="6" t="s">
        <v>44</v>
      </c>
      <c r="Q468" s="8" t="s">
        <v>45</v>
      </c>
      <c r="R468" s="10" t="s">
        <v>632</v>
      </c>
      <c r="S468" s="11"/>
      <c r="T468" s="6"/>
      <c r="U468" s="24" t="str">
        <f>HYPERLINK("https://media.infra-m.ru/2202/2202750/cover/2202750.jpg", "Обложка")</f>
        <v>Обложка</v>
      </c>
      <c r="V468" s="24" t="str">
        <f>HYPERLINK("https://znanium.ru/catalog/product/2202750", "Ознакомиться")</f>
        <v>Ознакомиться</v>
      </c>
      <c r="W468" s="8" t="s">
        <v>103</v>
      </c>
      <c r="X468" s="6" t="s">
        <v>320</v>
      </c>
      <c r="Y468" s="6"/>
      <c r="Z468" s="6"/>
      <c r="AA468" s="6" t="s">
        <v>321</v>
      </c>
      <c r="AB468" s="8"/>
    </row>
    <row r="469" spans="1:28" s="4" customFormat="1" ht="42" customHeight="1">
      <c r="A469" s="5">
        <v>0</v>
      </c>
      <c r="B469" s="6" t="s">
        <v>2968</v>
      </c>
      <c r="C469" s="7">
        <v>2172</v>
      </c>
      <c r="D469" s="8" t="s">
        <v>2969</v>
      </c>
      <c r="E469" s="8" t="s">
        <v>2970</v>
      </c>
      <c r="F469" s="8" t="s">
        <v>2966</v>
      </c>
      <c r="G469" s="6" t="s">
        <v>81</v>
      </c>
      <c r="H469" s="6" t="s">
        <v>99</v>
      </c>
      <c r="I469" s="8"/>
      <c r="J469" s="9">
        <v>1</v>
      </c>
      <c r="K469" s="9">
        <v>384</v>
      </c>
      <c r="L469" s="9">
        <v>2024</v>
      </c>
      <c r="M469" s="8" t="s">
        <v>2971</v>
      </c>
      <c r="N469" s="8" t="s">
        <v>42</v>
      </c>
      <c r="O469" s="8" t="s">
        <v>101</v>
      </c>
      <c r="P469" s="6" t="s">
        <v>44</v>
      </c>
      <c r="Q469" s="8" t="s">
        <v>45</v>
      </c>
      <c r="R469" s="10" t="s">
        <v>632</v>
      </c>
      <c r="S469" s="11"/>
      <c r="T469" s="6"/>
      <c r="U469" s="24" t="str">
        <f>HYPERLINK("https://media.infra-m.ru/2156/2156985/cover/2156985.jpg", "Обложка")</f>
        <v>Обложка</v>
      </c>
      <c r="V469" s="24" t="str">
        <f>HYPERLINK("https://znanium.ru/catalog/product/2202750", "Ознакомиться")</f>
        <v>Ознакомиться</v>
      </c>
      <c r="W469" s="8" t="s">
        <v>103</v>
      </c>
      <c r="X469" s="6"/>
      <c r="Y469" s="6"/>
      <c r="Z469" s="6"/>
      <c r="AA469" s="6" t="s">
        <v>119</v>
      </c>
      <c r="AB469" s="8"/>
    </row>
    <row r="470" spans="1:28" s="4" customFormat="1" ht="44.1" customHeight="1">
      <c r="A470" s="5">
        <v>0</v>
      </c>
      <c r="B470" s="6" t="s">
        <v>2972</v>
      </c>
      <c r="C470" s="13">
        <v>624</v>
      </c>
      <c r="D470" s="8" t="s">
        <v>2973</v>
      </c>
      <c r="E470" s="8" t="s">
        <v>2974</v>
      </c>
      <c r="F470" s="8" t="s">
        <v>2975</v>
      </c>
      <c r="G470" s="6" t="s">
        <v>38</v>
      </c>
      <c r="H470" s="6" t="s">
        <v>39</v>
      </c>
      <c r="I470" s="8" t="s">
        <v>40</v>
      </c>
      <c r="J470" s="9">
        <v>1</v>
      </c>
      <c r="K470" s="9">
        <v>110</v>
      </c>
      <c r="L470" s="9">
        <v>2024</v>
      </c>
      <c r="M470" s="8" t="s">
        <v>2976</v>
      </c>
      <c r="N470" s="8" t="s">
        <v>42</v>
      </c>
      <c r="O470" s="8" t="s">
        <v>246</v>
      </c>
      <c r="P470" s="6" t="s">
        <v>44</v>
      </c>
      <c r="Q470" s="8" t="s">
        <v>45</v>
      </c>
      <c r="R470" s="10" t="s">
        <v>2977</v>
      </c>
      <c r="S470" s="11"/>
      <c r="T470" s="6"/>
      <c r="U470" s="24" t="str">
        <f>HYPERLINK("https://media.infra-m.ru/2136/2136007/cover/2136007.jpg", "Обложка")</f>
        <v>Обложка</v>
      </c>
      <c r="V470" s="24" t="str">
        <f>HYPERLINK("https://znanium.ru/catalog/product/2136007", "Ознакомиться")</f>
        <v>Ознакомиться</v>
      </c>
      <c r="W470" s="8" t="s">
        <v>1049</v>
      </c>
      <c r="X470" s="6"/>
      <c r="Y470" s="6"/>
      <c r="Z470" s="6"/>
      <c r="AA470" s="6" t="s">
        <v>339</v>
      </c>
      <c r="AB470" s="8"/>
    </row>
    <row r="471" spans="1:28" s="4" customFormat="1" ht="42" customHeight="1">
      <c r="A471" s="5">
        <v>0</v>
      </c>
      <c r="B471" s="6" t="s">
        <v>2978</v>
      </c>
      <c r="C471" s="7">
        <v>1428</v>
      </c>
      <c r="D471" s="8" t="s">
        <v>2979</v>
      </c>
      <c r="E471" s="8" t="s">
        <v>2980</v>
      </c>
      <c r="F471" s="8" t="s">
        <v>2981</v>
      </c>
      <c r="G471" s="6" t="s">
        <v>38</v>
      </c>
      <c r="H471" s="6" t="s">
        <v>39</v>
      </c>
      <c r="I471" s="8" t="s">
        <v>40</v>
      </c>
      <c r="J471" s="9">
        <v>1</v>
      </c>
      <c r="K471" s="9">
        <v>226</v>
      </c>
      <c r="L471" s="9">
        <v>2025</v>
      </c>
      <c r="M471" s="8" t="s">
        <v>2982</v>
      </c>
      <c r="N471" s="8" t="s">
        <v>284</v>
      </c>
      <c r="O471" s="8" t="s">
        <v>2265</v>
      </c>
      <c r="P471" s="6" t="s">
        <v>44</v>
      </c>
      <c r="Q471" s="8" t="s">
        <v>45</v>
      </c>
      <c r="R471" s="10" t="s">
        <v>2983</v>
      </c>
      <c r="S471" s="11"/>
      <c r="T471" s="6"/>
      <c r="U471" s="24" t="str">
        <f>HYPERLINK("https://media.infra-m.ru/2184/2184873/cover/2184873.jpg", "Обложка")</f>
        <v>Обложка</v>
      </c>
      <c r="V471" s="24" t="str">
        <f>HYPERLINK("https://znanium.ru/catalog/product/2184873", "Ознакомиться")</f>
        <v>Ознакомиться</v>
      </c>
      <c r="W471" s="8" t="s">
        <v>2984</v>
      </c>
      <c r="X471" s="6"/>
      <c r="Y471" s="6"/>
      <c r="Z471" s="6"/>
      <c r="AA471" s="6" t="s">
        <v>119</v>
      </c>
      <c r="AB471" s="8"/>
    </row>
    <row r="472" spans="1:28" s="4" customFormat="1" ht="44.1" customHeight="1">
      <c r="A472" s="5">
        <v>0</v>
      </c>
      <c r="B472" s="6" t="s">
        <v>2985</v>
      </c>
      <c r="C472" s="7">
        <v>1764</v>
      </c>
      <c r="D472" s="8" t="s">
        <v>2986</v>
      </c>
      <c r="E472" s="8" t="s">
        <v>2987</v>
      </c>
      <c r="F472" s="8" t="s">
        <v>2988</v>
      </c>
      <c r="G472" s="6" t="s">
        <v>38</v>
      </c>
      <c r="H472" s="6" t="s">
        <v>39</v>
      </c>
      <c r="I472" s="8" t="s">
        <v>40</v>
      </c>
      <c r="J472" s="9">
        <v>1</v>
      </c>
      <c r="K472" s="9">
        <v>315</v>
      </c>
      <c r="L472" s="9">
        <v>2022</v>
      </c>
      <c r="M472" s="8" t="s">
        <v>2989</v>
      </c>
      <c r="N472" s="8" t="s">
        <v>284</v>
      </c>
      <c r="O472" s="8" t="s">
        <v>2265</v>
      </c>
      <c r="P472" s="6" t="s">
        <v>44</v>
      </c>
      <c r="Q472" s="8" t="s">
        <v>45</v>
      </c>
      <c r="R472" s="10" t="s">
        <v>2990</v>
      </c>
      <c r="S472" s="11"/>
      <c r="T472" s="6"/>
      <c r="U472" s="24" t="str">
        <f>HYPERLINK("https://media.infra-m.ru/1816/1816638/cover/1816638.jpg", "Обложка")</f>
        <v>Обложка</v>
      </c>
      <c r="V472" s="24" t="str">
        <f>HYPERLINK("https://znanium.ru/catalog/product/1816638", "Ознакомиться")</f>
        <v>Ознакомиться</v>
      </c>
      <c r="W472" s="8" t="s">
        <v>2991</v>
      </c>
      <c r="X472" s="6"/>
      <c r="Y472" s="6"/>
      <c r="Z472" s="6"/>
      <c r="AA472" s="6" t="s">
        <v>111</v>
      </c>
      <c r="AB472" s="8"/>
    </row>
    <row r="473" spans="1:28" s="4" customFormat="1" ht="42" customHeight="1">
      <c r="A473" s="5">
        <v>0</v>
      </c>
      <c r="B473" s="6" t="s">
        <v>2992</v>
      </c>
      <c r="C473" s="7">
        <v>1140</v>
      </c>
      <c r="D473" s="8" t="s">
        <v>2993</v>
      </c>
      <c r="E473" s="8" t="s">
        <v>2994</v>
      </c>
      <c r="F473" s="8" t="s">
        <v>2995</v>
      </c>
      <c r="G473" s="6" t="s">
        <v>81</v>
      </c>
      <c r="H473" s="6" t="s">
        <v>39</v>
      </c>
      <c r="I473" s="8" t="s">
        <v>40</v>
      </c>
      <c r="J473" s="9">
        <v>1</v>
      </c>
      <c r="K473" s="9">
        <v>205</v>
      </c>
      <c r="L473" s="9">
        <v>2024</v>
      </c>
      <c r="M473" s="8" t="s">
        <v>2996</v>
      </c>
      <c r="N473" s="8" t="s">
        <v>42</v>
      </c>
      <c r="O473" s="8" t="s">
        <v>101</v>
      </c>
      <c r="P473" s="6" t="s">
        <v>44</v>
      </c>
      <c r="Q473" s="8" t="s">
        <v>45</v>
      </c>
      <c r="R473" s="10" t="s">
        <v>2997</v>
      </c>
      <c r="S473" s="11"/>
      <c r="T473" s="6"/>
      <c r="U473" s="24" t="str">
        <f>HYPERLINK("https://media.infra-m.ru/2104/2104865/cover/2104865.jpg", "Обложка")</f>
        <v>Обложка</v>
      </c>
      <c r="V473" s="24" t="str">
        <f>HYPERLINK("https://znanium.ru/catalog/product/2104865", "Ознакомиться")</f>
        <v>Ознакомиться</v>
      </c>
      <c r="W473" s="8"/>
      <c r="X473" s="6"/>
      <c r="Y473" s="6"/>
      <c r="Z473" s="6"/>
      <c r="AA473" s="6" t="s">
        <v>111</v>
      </c>
      <c r="AB473" s="8"/>
    </row>
    <row r="474" spans="1:28" s="4" customFormat="1" ht="51.95" customHeight="1">
      <c r="A474" s="5">
        <v>0</v>
      </c>
      <c r="B474" s="6" t="s">
        <v>2998</v>
      </c>
      <c r="C474" s="7">
        <v>1416</v>
      </c>
      <c r="D474" s="8" t="s">
        <v>2999</v>
      </c>
      <c r="E474" s="8" t="s">
        <v>3000</v>
      </c>
      <c r="F474" s="8" t="s">
        <v>3001</v>
      </c>
      <c r="G474" s="6" t="s">
        <v>132</v>
      </c>
      <c r="H474" s="6" t="s">
        <v>39</v>
      </c>
      <c r="I474" s="8" t="s">
        <v>40</v>
      </c>
      <c r="J474" s="9">
        <v>1</v>
      </c>
      <c r="K474" s="9">
        <v>213</v>
      </c>
      <c r="L474" s="9">
        <v>2025</v>
      </c>
      <c r="M474" s="8" t="s">
        <v>3002</v>
      </c>
      <c r="N474" s="8" t="s">
        <v>54</v>
      </c>
      <c r="O474" s="8" t="s">
        <v>91</v>
      </c>
      <c r="P474" s="6" t="s">
        <v>44</v>
      </c>
      <c r="Q474" s="8" t="s">
        <v>45</v>
      </c>
      <c r="R474" s="10" t="s">
        <v>3003</v>
      </c>
      <c r="S474" s="11"/>
      <c r="T474" s="6"/>
      <c r="U474" s="24" t="str">
        <f>HYPERLINK("https://media.infra-m.ru/2211/2211639/cover/2211639.jpg", "Обложка")</f>
        <v>Обложка</v>
      </c>
      <c r="V474" s="24" t="str">
        <f>HYPERLINK("https://znanium.ru/catalog/product/2211639", "Ознакомиться")</f>
        <v>Ознакомиться</v>
      </c>
      <c r="W474" s="8" t="s">
        <v>3004</v>
      </c>
      <c r="X474" s="6" t="s">
        <v>832</v>
      </c>
      <c r="Y474" s="6"/>
      <c r="Z474" s="6"/>
      <c r="AA474" s="6" t="s">
        <v>321</v>
      </c>
      <c r="AB474" s="8"/>
    </row>
    <row r="475" spans="1:28" s="4" customFormat="1" ht="42" customHeight="1">
      <c r="A475" s="5">
        <v>0</v>
      </c>
      <c r="B475" s="6" t="s">
        <v>3005</v>
      </c>
      <c r="C475" s="13">
        <v>540</v>
      </c>
      <c r="D475" s="8" t="s">
        <v>3006</v>
      </c>
      <c r="E475" s="8" t="s">
        <v>3007</v>
      </c>
      <c r="F475" s="8" t="s">
        <v>3008</v>
      </c>
      <c r="G475" s="6" t="s">
        <v>38</v>
      </c>
      <c r="H475" s="6" t="s">
        <v>39</v>
      </c>
      <c r="I475" s="8" t="s">
        <v>40</v>
      </c>
      <c r="J475" s="9">
        <v>1</v>
      </c>
      <c r="K475" s="9">
        <v>100</v>
      </c>
      <c r="L475" s="9">
        <v>2023</v>
      </c>
      <c r="M475" s="8" t="s">
        <v>3009</v>
      </c>
      <c r="N475" s="8" t="s">
        <v>42</v>
      </c>
      <c r="O475" s="8" t="s">
        <v>101</v>
      </c>
      <c r="P475" s="6" t="s">
        <v>44</v>
      </c>
      <c r="Q475" s="8" t="s">
        <v>45</v>
      </c>
      <c r="R475" s="10" t="s">
        <v>874</v>
      </c>
      <c r="S475" s="11"/>
      <c r="T475" s="6"/>
      <c r="U475" s="24" t="str">
        <f>HYPERLINK("https://media.infra-m.ru/2019/2019767/cover/2019767.jpg", "Обложка")</f>
        <v>Обложка</v>
      </c>
      <c r="V475" s="24" t="str">
        <f>HYPERLINK("https://znanium.ru/catalog/product/2019767", "Ознакомиться")</f>
        <v>Ознакомиться</v>
      </c>
      <c r="W475" s="8" t="s">
        <v>191</v>
      </c>
      <c r="X475" s="6"/>
      <c r="Y475" s="6"/>
      <c r="Z475" s="6"/>
      <c r="AA475" s="6" t="s">
        <v>48</v>
      </c>
      <c r="AB475" s="8"/>
    </row>
    <row r="476" spans="1:28" s="4" customFormat="1" ht="44.1" customHeight="1">
      <c r="A476" s="5">
        <v>0</v>
      </c>
      <c r="B476" s="6" t="s">
        <v>3010</v>
      </c>
      <c r="C476" s="7">
        <v>1264.8</v>
      </c>
      <c r="D476" s="8" t="s">
        <v>3011</v>
      </c>
      <c r="E476" s="8" t="s">
        <v>3012</v>
      </c>
      <c r="F476" s="8" t="s">
        <v>2933</v>
      </c>
      <c r="G476" s="6" t="s">
        <v>132</v>
      </c>
      <c r="H476" s="6" t="s">
        <v>99</v>
      </c>
      <c r="I476" s="8"/>
      <c r="J476" s="9">
        <v>1</v>
      </c>
      <c r="K476" s="9">
        <v>192</v>
      </c>
      <c r="L476" s="9">
        <v>2026</v>
      </c>
      <c r="M476" s="8" t="s">
        <v>3013</v>
      </c>
      <c r="N476" s="8" t="s">
        <v>42</v>
      </c>
      <c r="O476" s="8" t="s">
        <v>101</v>
      </c>
      <c r="P476" s="6" t="s">
        <v>44</v>
      </c>
      <c r="Q476" s="8" t="s">
        <v>45</v>
      </c>
      <c r="R476" s="10" t="s">
        <v>1778</v>
      </c>
      <c r="S476" s="11"/>
      <c r="T476" s="6"/>
      <c r="U476" s="24" t="str">
        <f>HYPERLINK("https://media.infra-m.ru/2147/2147468/cover/2147468.jpg", "Обложка")</f>
        <v>Обложка</v>
      </c>
      <c r="V476" s="24" t="str">
        <f>HYPERLINK("https://znanium.ru/catalog/product/989161", "Ознакомиться")</f>
        <v>Ознакомиться</v>
      </c>
      <c r="W476" s="8" t="s">
        <v>2935</v>
      </c>
      <c r="X476" s="6"/>
      <c r="Y476" s="6"/>
      <c r="Z476" s="6"/>
      <c r="AA476" s="6" t="s">
        <v>127</v>
      </c>
      <c r="AB476" s="8"/>
    </row>
    <row r="477" spans="1:28" s="4" customFormat="1" ht="51.95" customHeight="1">
      <c r="A477" s="5">
        <v>0</v>
      </c>
      <c r="B477" s="6" t="s">
        <v>3014</v>
      </c>
      <c r="C477" s="7">
        <v>2544</v>
      </c>
      <c r="D477" s="8" t="s">
        <v>3015</v>
      </c>
      <c r="E477" s="8" t="s">
        <v>3016</v>
      </c>
      <c r="F477" s="8" t="s">
        <v>3017</v>
      </c>
      <c r="G477" s="6" t="s">
        <v>132</v>
      </c>
      <c r="H477" s="6" t="s">
        <v>99</v>
      </c>
      <c r="I477" s="8"/>
      <c r="J477" s="9">
        <v>1</v>
      </c>
      <c r="K477" s="9">
        <v>408</v>
      </c>
      <c r="L477" s="9">
        <v>2026</v>
      </c>
      <c r="M477" s="8" t="s">
        <v>3018</v>
      </c>
      <c r="N477" s="8" t="s">
        <v>42</v>
      </c>
      <c r="O477" s="8" t="s">
        <v>101</v>
      </c>
      <c r="P477" s="6" t="s">
        <v>44</v>
      </c>
      <c r="Q477" s="8" t="s">
        <v>45</v>
      </c>
      <c r="R477" s="10" t="s">
        <v>1329</v>
      </c>
      <c r="S477" s="11"/>
      <c r="T477" s="6"/>
      <c r="U477" s="24" t="str">
        <f>HYPERLINK("https://media.infra-m.ru/2212/2212342/cover/2212342.jpg", "Обложка")</f>
        <v>Обложка</v>
      </c>
      <c r="V477" s="24" t="str">
        <f>HYPERLINK("https://znanium.ru/catalog/product/2212342", "Ознакомиться")</f>
        <v>Ознакомиться</v>
      </c>
      <c r="W477" s="8" t="s">
        <v>418</v>
      </c>
      <c r="X477" s="6"/>
      <c r="Y477" s="6"/>
      <c r="Z477" s="6"/>
      <c r="AA477" s="6" t="s">
        <v>199</v>
      </c>
      <c r="AB477" s="8"/>
    </row>
    <row r="478" spans="1:28" s="4" customFormat="1" ht="42" customHeight="1">
      <c r="A478" s="5">
        <v>0</v>
      </c>
      <c r="B478" s="6" t="s">
        <v>3019</v>
      </c>
      <c r="C478" s="7">
        <v>1300.8</v>
      </c>
      <c r="D478" s="8" t="s">
        <v>3020</v>
      </c>
      <c r="E478" s="8" t="s">
        <v>3021</v>
      </c>
      <c r="F478" s="8" t="s">
        <v>3022</v>
      </c>
      <c r="G478" s="6" t="s">
        <v>26</v>
      </c>
      <c r="H478" s="6" t="s">
        <v>99</v>
      </c>
      <c r="I478" s="8"/>
      <c r="J478" s="9">
        <v>1</v>
      </c>
      <c r="K478" s="9">
        <v>208</v>
      </c>
      <c r="L478" s="9">
        <v>2025</v>
      </c>
      <c r="M478" s="8" t="s">
        <v>3023</v>
      </c>
      <c r="N478" s="8" t="s">
        <v>42</v>
      </c>
      <c r="O478" s="8" t="s">
        <v>101</v>
      </c>
      <c r="P478" s="6" t="s">
        <v>44</v>
      </c>
      <c r="Q478" s="8" t="s">
        <v>45</v>
      </c>
      <c r="R478" s="10" t="s">
        <v>874</v>
      </c>
      <c r="S478" s="11"/>
      <c r="T478" s="6"/>
      <c r="U478" s="24" t="str">
        <f>HYPERLINK("https://media.infra-m.ru/2192/2192456/cover/2192456.jpg", "Обложка")</f>
        <v>Обложка</v>
      </c>
      <c r="V478" s="24" t="str">
        <f>HYPERLINK("https://znanium.ru/catalog/product/1045604", "Ознакомиться")</f>
        <v>Ознакомиться</v>
      </c>
      <c r="W478" s="8" t="s">
        <v>641</v>
      </c>
      <c r="X478" s="6"/>
      <c r="Y478" s="6"/>
      <c r="Z478" s="6"/>
      <c r="AA478" s="6" t="s">
        <v>127</v>
      </c>
      <c r="AB478" s="8"/>
    </row>
    <row r="479" spans="1:28" s="4" customFormat="1" ht="51.95" customHeight="1">
      <c r="A479" s="5">
        <v>0</v>
      </c>
      <c r="B479" s="6" t="s">
        <v>3024</v>
      </c>
      <c r="C479" s="13">
        <v>996</v>
      </c>
      <c r="D479" s="8" t="s">
        <v>3025</v>
      </c>
      <c r="E479" s="8" t="s">
        <v>3026</v>
      </c>
      <c r="F479" s="8" t="s">
        <v>3027</v>
      </c>
      <c r="G479" s="6" t="s">
        <v>38</v>
      </c>
      <c r="H479" s="6" t="s">
        <v>39</v>
      </c>
      <c r="I479" s="8" t="s">
        <v>40</v>
      </c>
      <c r="J479" s="9">
        <v>1</v>
      </c>
      <c r="K479" s="9">
        <v>216</v>
      </c>
      <c r="L479" s="9">
        <v>2022</v>
      </c>
      <c r="M479" s="8" t="s">
        <v>3028</v>
      </c>
      <c r="N479" s="8" t="s">
        <v>54</v>
      </c>
      <c r="O479" s="8" t="s">
        <v>91</v>
      </c>
      <c r="P479" s="6" t="s">
        <v>44</v>
      </c>
      <c r="Q479" s="8" t="s">
        <v>45</v>
      </c>
      <c r="R479" s="10" t="s">
        <v>3029</v>
      </c>
      <c r="S479" s="11"/>
      <c r="T479" s="6"/>
      <c r="U479" s="24" t="str">
        <f>HYPERLINK("https://media.infra-m.ru/1863/1863143/cover/1863143.jpg", "Обложка")</f>
        <v>Обложка</v>
      </c>
      <c r="V479" s="24" t="str">
        <f>HYPERLINK("https://znanium.ru/catalog/product/1863143", "Ознакомиться")</f>
        <v>Ознакомиться</v>
      </c>
      <c r="W479" s="8" t="s">
        <v>305</v>
      </c>
      <c r="X479" s="6"/>
      <c r="Y479" s="6"/>
      <c r="Z479" s="6"/>
      <c r="AA479" s="6" t="s">
        <v>127</v>
      </c>
      <c r="AB479" s="8"/>
    </row>
    <row r="480" spans="1:28" s="4" customFormat="1" ht="42" customHeight="1">
      <c r="A480" s="5">
        <v>0</v>
      </c>
      <c r="B480" s="6" t="s">
        <v>3030</v>
      </c>
      <c r="C480" s="7">
        <v>1096.8</v>
      </c>
      <c r="D480" s="8" t="s">
        <v>3031</v>
      </c>
      <c r="E480" s="8" t="s">
        <v>3032</v>
      </c>
      <c r="F480" s="8" t="s">
        <v>3033</v>
      </c>
      <c r="G480" s="6" t="s">
        <v>38</v>
      </c>
      <c r="H480" s="6" t="s">
        <v>99</v>
      </c>
      <c r="I480" s="8"/>
      <c r="J480" s="9">
        <v>1</v>
      </c>
      <c r="K480" s="9">
        <v>176</v>
      </c>
      <c r="L480" s="9">
        <v>2025</v>
      </c>
      <c r="M480" s="8" t="s">
        <v>3034</v>
      </c>
      <c r="N480" s="8" t="s">
        <v>42</v>
      </c>
      <c r="O480" s="8" t="s">
        <v>101</v>
      </c>
      <c r="P480" s="6" t="s">
        <v>44</v>
      </c>
      <c r="Q480" s="8" t="s">
        <v>45</v>
      </c>
      <c r="R480" s="10" t="s">
        <v>600</v>
      </c>
      <c r="S480" s="11"/>
      <c r="T480" s="6"/>
      <c r="U480" s="24" t="str">
        <f>HYPERLINK("https://media.infra-m.ru/2202/2202101/cover/2202101.jpg", "Обложка")</f>
        <v>Обложка</v>
      </c>
      <c r="V480" s="24" t="str">
        <f>HYPERLINK("https://znanium.ru/catalog/product/2119111", "Ознакомиться")</f>
        <v>Ознакомиться</v>
      </c>
      <c r="W480" s="8" t="s">
        <v>418</v>
      </c>
      <c r="X480" s="6"/>
      <c r="Y480" s="6"/>
      <c r="Z480" s="6"/>
      <c r="AA480" s="6" t="s">
        <v>369</v>
      </c>
      <c r="AB480" s="8"/>
    </row>
    <row r="481" spans="1:28" s="4" customFormat="1" ht="51.95" customHeight="1">
      <c r="A481" s="5">
        <v>0</v>
      </c>
      <c r="B481" s="6" t="s">
        <v>3035</v>
      </c>
      <c r="C481" s="13">
        <v>624</v>
      </c>
      <c r="D481" s="8" t="s">
        <v>3036</v>
      </c>
      <c r="E481" s="8" t="s">
        <v>3037</v>
      </c>
      <c r="F481" s="8" t="s">
        <v>3038</v>
      </c>
      <c r="G481" s="6" t="s">
        <v>38</v>
      </c>
      <c r="H481" s="6" t="s">
        <v>39</v>
      </c>
      <c r="I481" s="8" t="s">
        <v>40</v>
      </c>
      <c r="J481" s="9">
        <v>1</v>
      </c>
      <c r="K481" s="9">
        <v>100</v>
      </c>
      <c r="L481" s="9">
        <v>2024</v>
      </c>
      <c r="M481" s="8" t="s">
        <v>3039</v>
      </c>
      <c r="N481" s="8" t="s">
        <v>42</v>
      </c>
      <c r="O481" s="8" t="s">
        <v>1002</v>
      </c>
      <c r="P481" s="6" t="s">
        <v>44</v>
      </c>
      <c r="Q481" s="8" t="s">
        <v>45</v>
      </c>
      <c r="R481" s="10" t="s">
        <v>3040</v>
      </c>
      <c r="S481" s="11"/>
      <c r="T481" s="6"/>
      <c r="U481" s="24" t="str">
        <f>HYPERLINK("https://media.infra-m.ru/2080/2080714/cover/2080714.jpg", "Обложка")</f>
        <v>Обложка</v>
      </c>
      <c r="V481" s="24" t="str">
        <f>HYPERLINK("https://znanium.ru/catalog/product/2080714", "Ознакомиться")</f>
        <v>Ознакомиться</v>
      </c>
      <c r="W481" s="8" t="s">
        <v>3041</v>
      </c>
      <c r="X481" s="6"/>
      <c r="Y481" s="6"/>
      <c r="Z481" s="6"/>
      <c r="AA481" s="6" t="s">
        <v>369</v>
      </c>
      <c r="AB481" s="8"/>
    </row>
    <row r="482" spans="1:28" s="4" customFormat="1" ht="51.95" customHeight="1">
      <c r="A482" s="5">
        <v>0</v>
      </c>
      <c r="B482" s="6" t="s">
        <v>3042</v>
      </c>
      <c r="C482" s="7">
        <v>1008</v>
      </c>
      <c r="D482" s="8" t="s">
        <v>3043</v>
      </c>
      <c r="E482" s="8" t="s">
        <v>3044</v>
      </c>
      <c r="F482" s="8" t="s">
        <v>1591</v>
      </c>
      <c r="G482" s="6" t="s">
        <v>81</v>
      </c>
      <c r="H482" s="6" t="s">
        <v>182</v>
      </c>
      <c r="I482" s="8" t="s">
        <v>40</v>
      </c>
      <c r="J482" s="9">
        <v>1</v>
      </c>
      <c r="K482" s="9">
        <v>173</v>
      </c>
      <c r="L482" s="9">
        <v>2024</v>
      </c>
      <c r="M482" s="8" t="s">
        <v>3045</v>
      </c>
      <c r="N482" s="8" t="s">
        <v>42</v>
      </c>
      <c r="O482" s="8" t="s">
        <v>101</v>
      </c>
      <c r="P482" s="6" t="s">
        <v>44</v>
      </c>
      <c r="Q482" s="8" t="s">
        <v>45</v>
      </c>
      <c r="R482" s="10" t="s">
        <v>1798</v>
      </c>
      <c r="S482" s="11"/>
      <c r="T482" s="6"/>
      <c r="U482" s="24" t="str">
        <f>HYPERLINK("https://media.infra-m.ru/2135/2135240/cover/2135240.jpg", "Обложка")</f>
        <v>Обложка</v>
      </c>
      <c r="V482" s="12"/>
      <c r="W482" s="8" t="s">
        <v>1594</v>
      </c>
      <c r="X482" s="6"/>
      <c r="Y482" s="6"/>
      <c r="Z482" s="6"/>
      <c r="AA482" s="6" t="s">
        <v>58</v>
      </c>
      <c r="AB482" s="8"/>
    </row>
    <row r="483" spans="1:28" s="4" customFormat="1" ht="51.95" customHeight="1">
      <c r="A483" s="5">
        <v>0</v>
      </c>
      <c r="B483" s="6" t="s">
        <v>3046</v>
      </c>
      <c r="C483" s="7">
        <v>1032</v>
      </c>
      <c r="D483" s="8" t="s">
        <v>3047</v>
      </c>
      <c r="E483" s="8" t="s">
        <v>3048</v>
      </c>
      <c r="F483" s="8" t="s">
        <v>3049</v>
      </c>
      <c r="G483" s="6" t="s">
        <v>38</v>
      </c>
      <c r="H483" s="6" t="s">
        <v>39</v>
      </c>
      <c r="I483" s="8" t="s">
        <v>40</v>
      </c>
      <c r="J483" s="9">
        <v>1</v>
      </c>
      <c r="K483" s="9">
        <v>231</v>
      </c>
      <c r="L483" s="9">
        <v>2021</v>
      </c>
      <c r="M483" s="8" t="s">
        <v>3050</v>
      </c>
      <c r="N483" s="8" t="s">
        <v>54</v>
      </c>
      <c r="O483" s="8" t="s">
        <v>91</v>
      </c>
      <c r="P483" s="6" t="s">
        <v>44</v>
      </c>
      <c r="Q483" s="8" t="s">
        <v>45</v>
      </c>
      <c r="R483" s="10" t="s">
        <v>92</v>
      </c>
      <c r="S483" s="11"/>
      <c r="T483" s="6" t="s">
        <v>1080</v>
      </c>
      <c r="U483" s="24" t="str">
        <f>HYPERLINK("https://media.infra-m.ru/1190/1190688/cover/1190688.jpg", "Обложка")</f>
        <v>Обложка</v>
      </c>
      <c r="V483" s="24" t="str">
        <f>HYPERLINK("https://znanium.ru/catalog/product/1190688", "Ознакомиться")</f>
        <v>Ознакомиться</v>
      </c>
      <c r="W483" s="8" t="s">
        <v>305</v>
      </c>
      <c r="X483" s="6"/>
      <c r="Y483" s="6"/>
      <c r="Z483" s="6"/>
      <c r="AA483" s="6" t="s">
        <v>127</v>
      </c>
      <c r="AB483" s="8"/>
    </row>
    <row r="484" spans="1:28" s="4" customFormat="1" ht="42" customHeight="1">
      <c r="A484" s="5">
        <v>0</v>
      </c>
      <c r="B484" s="6" t="s">
        <v>3051</v>
      </c>
      <c r="C484" s="7">
        <v>1368</v>
      </c>
      <c r="D484" s="8" t="s">
        <v>3052</v>
      </c>
      <c r="E484" s="8" t="s">
        <v>3053</v>
      </c>
      <c r="F484" s="8" t="s">
        <v>211</v>
      </c>
      <c r="G484" s="6" t="s">
        <v>38</v>
      </c>
      <c r="H484" s="6" t="s">
        <v>39</v>
      </c>
      <c r="I484" s="8" t="s">
        <v>40</v>
      </c>
      <c r="J484" s="9">
        <v>1</v>
      </c>
      <c r="K484" s="9">
        <v>207</v>
      </c>
      <c r="L484" s="9">
        <v>2026</v>
      </c>
      <c r="M484" s="8" t="s">
        <v>3054</v>
      </c>
      <c r="N484" s="8" t="s">
        <v>54</v>
      </c>
      <c r="O484" s="8" t="s">
        <v>91</v>
      </c>
      <c r="P484" s="6" t="s">
        <v>44</v>
      </c>
      <c r="Q484" s="8" t="s">
        <v>45</v>
      </c>
      <c r="R484" s="10" t="s">
        <v>3055</v>
      </c>
      <c r="S484" s="11"/>
      <c r="T484" s="6"/>
      <c r="U484" s="24" t="str">
        <f>HYPERLINK("https://media.infra-m.ru/2213/2213680/cover/2213680.jpg", "Обложка")</f>
        <v>Обложка</v>
      </c>
      <c r="V484" s="24" t="str">
        <f>HYPERLINK("https://znanium.ru/catalog/product/2213680", "Ознакомиться")</f>
        <v>Ознакомиться</v>
      </c>
      <c r="W484" s="8" t="s">
        <v>214</v>
      </c>
      <c r="X484" s="6"/>
      <c r="Y484" s="6"/>
      <c r="Z484" s="6"/>
      <c r="AA484" s="6" t="s">
        <v>76</v>
      </c>
      <c r="AB484" s="8"/>
    </row>
    <row r="485" spans="1:28" s="4" customFormat="1" ht="42" customHeight="1">
      <c r="A485" s="5">
        <v>0</v>
      </c>
      <c r="B485" s="6" t="s">
        <v>3056</v>
      </c>
      <c r="C485" s="7">
        <v>1008</v>
      </c>
      <c r="D485" s="8" t="s">
        <v>3057</v>
      </c>
      <c r="E485" s="8" t="s">
        <v>3058</v>
      </c>
      <c r="F485" s="8" t="s">
        <v>211</v>
      </c>
      <c r="G485" s="6" t="s">
        <v>38</v>
      </c>
      <c r="H485" s="6" t="s">
        <v>39</v>
      </c>
      <c r="I485" s="8" t="s">
        <v>40</v>
      </c>
      <c r="J485" s="9">
        <v>1</v>
      </c>
      <c r="K485" s="9">
        <v>167</v>
      </c>
      <c r="L485" s="9">
        <v>2025</v>
      </c>
      <c r="M485" s="8" t="s">
        <v>3059</v>
      </c>
      <c r="N485" s="8" t="s">
        <v>54</v>
      </c>
      <c r="O485" s="8" t="s">
        <v>91</v>
      </c>
      <c r="P485" s="6" t="s">
        <v>44</v>
      </c>
      <c r="Q485" s="8" t="s">
        <v>45</v>
      </c>
      <c r="R485" s="10" t="s">
        <v>3060</v>
      </c>
      <c r="S485" s="11"/>
      <c r="T485" s="6"/>
      <c r="U485" s="24" t="str">
        <f>HYPERLINK("https://media.infra-m.ru/2172/2172557/cover/2172557.jpg", "Обложка")</f>
        <v>Обложка</v>
      </c>
      <c r="V485" s="24" t="str">
        <f>HYPERLINK("https://znanium.ru/catalog/product/2172557", "Ознакомиться")</f>
        <v>Ознакомиться</v>
      </c>
      <c r="W485" s="8" t="s">
        <v>214</v>
      </c>
      <c r="X485" s="6"/>
      <c r="Y485" s="6"/>
      <c r="Z485" s="6"/>
      <c r="AA485" s="6" t="s">
        <v>199</v>
      </c>
      <c r="AB485" s="8"/>
    </row>
    <row r="486" spans="1:28" s="4" customFormat="1" ht="51.95" customHeight="1">
      <c r="A486" s="5">
        <v>0</v>
      </c>
      <c r="B486" s="6" t="s">
        <v>3061</v>
      </c>
      <c r="C486" s="7">
        <v>2236.8000000000002</v>
      </c>
      <c r="D486" s="8" t="s">
        <v>3062</v>
      </c>
      <c r="E486" s="8" t="s">
        <v>3063</v>
      </c>
      <c r="F486" s="8" t="s">
        <v>3064</v>
      </c>
      <c r="G486" s="6" t="s">
        <v>81</v>
      </c>
      <c r="H486" s="6" t="s">
        <v>39</v>
      </c>
      <c r="I486" s="8" t="s">
        <v>3065</v>
      </c>
      <c r="J486" s="9">
        <v>1</v>
      </c>
      <c r="K486" s="9">
        <v>358</v>
      </c>
      <c r="L486" s="9">
        <v>2025</v>
      </c>
      <c r="M486" s="8" t="s">
        <v>3066</v>
      </c>
      <c r="N486" s="8" t="s">
        <v>42</v>
      </c>
      <c r="O486" s="8" t="s">
        <v>65</v>
      </c>
      <c r="P486" s="6" t="s">
        <v>44</v>
      </c>
      <c r="Q486" s="8" t="s">
        <v>45</v>
      </c>
      <c r="R486" s="10" t="s">
        <v>3067</v>
      </c>
      <c r="S486" s="11"/>
      <c r="T486" s="6"/>
      <c r="U486" s="24" t="str">
        <f>HYPERLINK("https://media.infra-m.ru/2208/2208924/cover/2208924.jpg", "Обложка")</f>
        <v>Обложка</v>
      </c>
      <c r="V486" s="24" t="str">
        <f>HYPERLINK("https://znanium.ru/catalog/product/2208712", "Ознакомиться")</f>
        <v>Ознакомиться</v>
      </c>
      <c r="W486" s="8" t="s">
        <v>3068</v>
      </c>
      <c r="X486" s="6"/>
      <c r="Y486" s="6"/>
      <c r="Z486" s="6"/>
      <c r="AA486" s="6" t="s">
        <v>339</v>
      </c>
      <c r="AB486" s="8"/>
    </row>
    <row r="487" spans="1:28" s="4" customFormat="1" ht="51.95" customHeight="1">
      <c r="A487" s="5">
        <v>0</v>
      </c>
      <c r="B487" s="6" t="s">
        <v>3069</v>
      </c>
      <c r="C487" s="7">
        <v>1444.8</v>
      </c>
      <c r="D487" s="8" t="s">
        <v>3070</v>
      </c>
      <c r="E487" s="8" t="s">
        <v>3071</v>
      </c>
      <c r="F487" s="8" t="s">
        <v>3072</v>
      </c>
      <c r="G487" s="6" t="s">
        <v>81</v>
      </c>
      <c r="H487" s="6" t="s">
        <v>99</v>
      </c>
      <c r="I487" s="8"/>
      <c r="J487" s="9">
        <v>1</v>
      </c>
      <c r="K487" s="9">
        <v>304</v>
      </c>
      <c r="L487" s="9">
        <v>2022</v>
      </c>
      <c r="M487" s="8" t="s">
        <v>3073</v>
      </c>
      <c r="N487" s="8" t="s">
        <v>42</v>
      </c>
      <c r="O487" s="8" t="s">
        <v>101</v>
      </c>
      <c r="P487" s="6" t="s">
        <v>44</v>
      </c>
      <c r="Q487" s="8" t="s">
        <v>45</v>
      </c>
      <c r="R487" s="10" t="s">
        <v>2898</v>
      </c>
      <c r="S487" s="11"/>
      <c r="T487" s="6"/>
      <c r="U487" s="24" t="str">
        <f>HYPERLINK("https://media.infra-m.ru/2213/2213807/cover/2213807.jpg", "Обложка")</f>
        <v>Обложка</v>
      </c>
      <c r="V487" s="24" t="str">
        <f>HYPERLINK("https://znanium.ru/catalog/product/1865964", "Ознакомиться")</f>
        <v>Ознакомиться</v>
      </c>
      <c r="W487" s="8" t="s">
        <v>103</v>
      </c>
      <c r="X487" s="6"/>
      <c r="Y487" s="6"/>
      <c r="Z487" s="6"/>
      <c r="AA487" s="6" t="s">
        <v>76</v>
      </c>
      <c r="AB487" s="8"/>
    </row>
    <row r="488" spans="1:28" s="4" customFormat="1" ht="42" customHeight="1">
      <c r="A488" s="5">
        <v>0</v>
      </c>
      <c r="B488" s="6" t="s">
        <v>3074</v>
      </c>
      <c r="C488" s="7">
        <v>1920</v>
      </c>
      <c r="D488" s="8" t="s">
        <v>3075</v>
      </c>
      <c r="E488" s="8" t="s">
        <v>3076</v>
      </c>
      <c r="F488" s="8" t="s">
        <v>3072</v>
      </c>
      <c r="G488" s="6" t="s">
        <v>81</v>
      </c>
      <c r="H488" s="6" t="s">
        <v>99</v>
      </c>
      <c r="I488" s="8"/>
      <c r="J488" s="9">
        <v>1</v>
      </c>
      <c r="K488" s="9">
        <v>400</v>
      </c>
      <c r="L488" s="9">
        <v>2022</v>
      </c>
      <c r="M488" s="8" t="s">
        <v>3077</v>
      </c>
      <c r="N488" s="8" t="s">
        <v>42</v>
      </c>
      <c r="O488" s="8" t="s">
        <v>101</v>
      </c>
      <c r="P488" s="6" t="s">
        <v>44</v>
      </c>
      <c r="Q488" s="8" t="s">
        <v>45</v>
      </c>
      <c r="R488" s="10" t="s">
        <v>874</v>
      </c>
      <c r="S488" s="11"/>
      <c r="T488" s="6"/>
      <c r="U488" s="24" t="str">
        <f>HYPERLINK("https://media.infra-m.ru/1761/1761836/cover/1761836.jpg", "Обложка")</f>
        <v>Обложка</v>
      </c>
      <c r="V488" s="24" t="str">
        <f>HYPERLINK("https://znanium.ru/catalog/product/1761836", "Ознакомиться")</f>
        <v>Ознакомиться</v>
      </c>
      <c r="W488" s="8" t="s">
        <v>103</v>
      </c>
      <c r="X488" s="6"/>
      <c r="Y488" s="6"/>
      <c r="Z488" s="6"/>
      <c r="AA488" s="6" t="s">
        <v>76</v>
      </c>
      <c r="AB488" s="8"/>
    </row>
    <row r="489" spans="1:28" s="4" customFormat="1" ht="51.95" customHeight="1">
      <c r="A489" s="5">
        <v>0</v>
      </c>
      <c r="B489" s="6" t="s">
        <v>3078</v>
      </c>
      <c r="C489" s="13">
        <v>497.9</v>
      </c>
      <c r="D489" s="8" t="s">
        <v>3079</v>
      </c>
      <c r="E489" s="8" t="s">
        <v>3080</v>
      </c>
      <c r="F489" s="8" t="s">
        <v>3081</v>
      </c>
      <c r="G489" s="6" t="s">
        <v>38</v>
      </c>
      <c r="H489" s="6" t="s">
        <v>182</v>
      </c>
      <c r="I489" s="8" t="s">
        <v>40</v>
      </c>
      <c r="J489" s="9">
        <v>1</v>
      </c>
      <c r="K489" s="9">
        <v>91</v>
      </c>
      <c r="L489" s="9">
        <v>2023</v>
      </c>
      <c r="M489" s="8" t="s">
        <v>3082</v>
      </c>
      <c r="N489" s="8" t="s">
        <v>42</v>
      </c>
      <c r="O489" s="8" t="s">
        <v>101</v>
      </c>
      <c r="P489" s="6" t="s">
        <v>44</v>
      </c>
      <c r="Q489" s="8" t="s">
        <v>45</v>
      </c>
      <c r="R489" s="10" t="s">
        <v>3083</v>
      </c>
      <c r="S489" s="11"/>
      <c r="T489" s="6" t="s">
        <v>1080</v>
      </c>
      <c r="U489" s="24" t="str">
        <f>HYPERLINK("https://media.infra-m.ru/1895/1895619/cover/1895619.jpg", "Обложка")</f>
        <v>Обложка</v>
      </c>
      <c r="V489" s="24" t="str">
        <f>HYPERLINK("https://znanium.ru/catalog/product/965386", "Ознакомиться")</f>
        <v>Ознакомиться</v>
      </c>
      <c r="W489" s="8" t="s">
        <v>1594</v>
      </c>
      <c r="X489" s="6"/>
      <c r="Y489" s="6"/>
      <c r="Z489" s="6"/>
      <c r="AA489" s="6" t="s">
        <v>377</v>
      </c>
      <c r="AB489" s="8"/>
    </row>
    <row r="490" spans="1:28" s="4" customFormat="1" ht="51.95" customHeight="1">
      <c r="A490" s="5">
        <v>0</v>
      </c>
      <c r="B490" s="6" t="s">
        <v>3084</v>
      </c>
      <c r="C490" s="7">
        <v>2820</v>
      </c>
      <c r="D490" s="8" t="s">
        <v>3085</v>
      </c>
      <c r="E490" s="8" t="s">
        <v>3086</v>
      </c>
      <c r="F490" s="8" t="s">
        <v>3087</v>
      </c>
      <c r="G490" s="6" t="s">
        <v>132</v>
      </c>
      <c r="H490" s="6" t="s">
        <v>39</v>
      </c>
      <c r="I490" s="8"/>
      <c r="J490" s="9">
        <v>1</v>
      </c>
      <c r="K490" s="9">
        <v>650</v>
      </c>
      <c r="L490" s="9">
        <v>2024</v>
      </c>
      <c r="M490" s="8" t="s">
        <v>3088</v>
      </c>
      <c r="N490" s="8" t="s">
        <v>42</v>
      </c>
      <c r="O490" s="8" t="s">
        <v>101</v>
      </c>
      <c r="P490" s="6" t="s">
        <v>268</v>
      </c>
      <c r="Q490" s="8" t="s">
        <v>45</v>
      </c>
      <c r="R490" s="10" t="s">
        <v>3089</v>
      </c>
      <c r="S490" s="11"/>
      <c r="T490" s="6"/>
      <c r="U490" s="24" t="str">
        <f>HYPERLINK("https://media.infra-m.ru/2104/2104295/cover/2104295.jpg", "Обложка")</f>
        <v>Обложка</v>
      </c>
      <c r="V490" s="24" t="str">
        <f>HYPERLINK("https://znanium.ru/catalog/product/2104295", "Ознакомиться")</f>
        <v>Ознакомиться</v>
      </c>
      <c r="W490" s="8" t="s">
        <v>418</v>
      </c>
      <c r="X490" s="6"/>
      <c r="Y490" s="6"/>
      <c r="Z490" s="6"/>
      <c r="AA490" s="6" t="s">
        <v>536</v>
      </c>
      <c r="AB490" s="8"/>
    </row>
    <row r="491" spans="1:28" s="4" customFormat="1" ht="42" customHeight="1">
      <c r="A491" s="5">
        <v>0</v>
      </c>
      <c r="B491" s="6" t="s">
        <v>3090</v>
      </c>
      <c r="C491" s="7">
        <v>1613.9</v>
      </c>
      <c r="D491" s="8" t="s">
        <v>3091</v>
      </c>
      <c r="E491" s="8" t="s">
        <v>3092</v>
      </c>
      <c r="F491" s="8" t="s">
        <v>3093</v>
      </c>
      <c r="G491" s="6" t="s">
        <v>132</v>
      </c>
      <c r="H491" s="6" t="s">
        <v>99</v>
      </c>
      <c r="I491" s="8"/>
      <c r="J491" s="9">
        <v>1</v>
      </c>
      <c r="K491" s="9">
        <v>320</v>
      </c>
      <c r="L491" s="9">
        <v>2022</v>
      </c>
      <c r="M491" s="8" t="s">
        <v>3094</v>
      </c>
      <c r="N491" s="8" t="s">
        <v>42</v>
      </c>
      <c r="O491" s="8" t="s">
        <v>101</v>
      </c>
      <c r="P491" s="6" t="s">
        <v>44</v>
      </c>
      <c r="Q491" s="8" t="s">
        <v>45</v>
      </c>
      <c r="R491" s="10" t="s">
        <v>564</v>
      </c>
      <c r="S491" s="11"/>
      <c r="T491" s="6"/>
      <c r="U491" s="24" t="str">
        <f>HYPERLINK("https://media.infra-m.ru/1875/1875042/cover/1875042.jpg", "Обложка")</f>
        <v>Обложка</v>
      </c>
      <c r="V491" s="24" t="str">
        <f>HYPERLINK("https://znanium.ru/catalog/product/1045788", "Ознакомиться")</f>
        <v>Ознакомиться</v>
      </c>
      <c r="W491" s="8" t="s">
        <v>191</v>
      </c>
      <c r="X491" s="6"/>
      <c r="Y491" s="6"/>
      <c r="Z491" s="6"/>
      <c r="AA491" s="6" t="s">
        <v>369</v>
      </c>
      <c r="AB491" s="8"/>
    </row>
    <row r="492" spans="1:28" s="4" customFormat="1" ht="42" customHeight="1">
      <c r="A492" s="5">
        <v>0</v>
      </c>
      <c r="B492" s="6" t="s">
        <v>3095</v>
      </c>
      <c r="C492" s="13">
        <v>868.8</v>
      </c>
      <c r="D492" s="8" t="s">
        <v>3096</v>
      </c>
      <c r="E492" s="8" t="s">
        <v>3097</v>
      </c>
      <c r="F492" s="8" t="s">
        <v>3098</v>
      </c>
      <c r="G492" s="6" t="s">
        <v>38</v>
      </c>
      <c r="H492" s="6" t="s">
        <v>326</v>
      </c>
      <c r="I492" s="8"/>
      <c r="J492" s="9">
        <v>1</v>
      </c>
      <c r="K492" s="9">
        <v>144</v>
      </c>
      <c r="L492" s="9">
        <v>2025</v>
      </c>
      <c r="M492" s="8" t="s">
        <v>3099</v>
      </c>
      <c r="N492" s="8" t="s">
        <v>54</v>
      </c>
      <c r="O492" s="8" t="s">
        <v>117</v>
      </c>
      <c r="P492" s="6" t="s">
        <v>44</v>
      </c>
      <c r="Q492" s="8" t="s">
        <v>45</v>
      </c>
      <c r="R492" s="10" t="s">
        <v>3100</v>
      </c>
      <c r="S492" s="11"/>
      <c r="T492" s="6"/>
      <c r="U492" s="24" t="str">
        <f>HYPERLINK("https://media.infra-m.ru/2166/2166544/cover/2166544.jpg", "Обложка")</f>
        <v>Обложка</v>
      </c>
      <c r="V492" s="12"/>
      <c r="W492" s="8" t="s">
        <v>535</v>
      </c>
      <c r="X492" s="6"/>
      <c r="Y492" s="6"/>
      <c r="Z492" s="6"/>
      <c r="AA492" s="6" t="s">
        <v>48</v>
      </c>
      <c r="AB492" s="8"/>
    </row>
    <row r="493" spans="1:28" s="4" customFormat="1" ht="44.1" customHeight="1">
      <c r="A493" s="5">
        <v>0</v>
      </c>
      <c r="B493" s="6" t="s">
        <v>3101</v>
      </c>
      <c r="C493" s="13">
        <v>400.8</v>
      </c>
      <c r="D493" s="8" t="s">
        <v>3102</v>
      </c>
      <c r="E493" s="8" t="s">
        <v>3103</v>
      </c>
      <c r="F493" s="8" t="s">
        <v>3104</v>
      </c>
      <c r="G493" s="6" t="s">
        <v>38</v>
      </c>
      <c r="H493" s="6" t="s">
        <v>326</v>
      </c>
      <c r="I493" s="8"/>
      <c r="J493" s="9">
        <v>1</v>
      </c>
      <c r="K493" s="9">
        <v>64</v>
      </c>
      <c r="L493" s="9">
        <v>2026</v>
      </c>
      <c r="M493" s="8" t="s">
        <v>3105</v>
      </c>
      <c r="N493" s="8" t="s">
        <v>54</v>
      </c>
      <c r="O493" s="8" t="s">
        <v>117</v>
      </c>
      <c r="P493" s="6" t="s">
        <v>44</v>
      </c>
      <c r="Q493" s="8" t="s">
        <v>45</v>
      </c>
      <c r="R493" s="10" t="s">
        <v>3106</v>
      </c>
      <c r="S493" s="11"/>
      <c r="T493" s="6"/>
      <c r="U493" s="24" t="str">
        <f>HYPERLINK("https://media.infra-m.ru/2217/2217603/cover/2217603.jpg", "Обложка")</f>
        <v>Обложка</v>
      </c>
      <c r="V493" s="24" t="str">
        <f>HYPERLINK("https://znanium.ru/catalog/product/537827", "Ознакомиться")</f>
        <v>Ознакомиться</v>
      </c>
      <c r="W493" s="8" t="s">
        <v>3107</v>
      </c>
      <c r="X493" s="6"/>
      <c r="Y493" s="6"/>
      <c r="Z493" s="6"/>
      <c r="AA493" s="6" t="s">
        <v>3108</v>
      </c>
      <c r="AB493" s="8"/>
    </row>
    <row r="494" spans="1:28" s="4" customFormat="1" ht="51.95" customHeight="1">
      <c r="A494" s="5">
        <v>0</v>
      </c>
      <c r="B494" s="6" t="s">
        <v>3109</v>
      </c>
      <c r="C494" s="13">
        <v>864</v>
      </c>
      <c r="D494" s="8" t="s">
        <v>3110</v>
      </c>
      <c r="E494" s="8" t="s">
        <v>3111</v>
      </c>
      <c r="F494" s="8" t="s">
        <v>3112</v>
      </c>
      <c r="G494" s="6" t="s">
        <v>38</v>
      </c>
      <c r="H494" s="6" t="s">
        <v>39</v>
      </c>
      <c r="I494" s="8" t="s">
        <v>2342</v>
      </c>
      <c r="J494" s="9">
        <v>1</v>
      </c>
      <c r="K494" s="9">
        <v>205</v>
      </c>
      <c r="L494" s="9">
        <v>2020</v>
      </c>
      <c r="M494" s="8" t="s">
        <v>3113</v>
      </c>
      <c r="N494" s="8" t="s">
        <v>54</v>
      </c>
      <c r="O494" s="8" t="s">
        <v>55</v>
      </c>
      <c r="P494" s="6" t="s">
        <v>44</v>
      </c>
      <c r="Q494" s="8" t="s">
        <v>45</v>
      </c>
      <c r="R494" s="10" t="s">
        <v>3114</v>
      </c>
      <c r="S494" s="11"/>
      <c r="T494" s="6"/>
      <c r="U494" s="24" t="str">
        <f>HYPERLINK("https://media.infra-m.ru/1077/1077732/cover/1077732.jpg", "Обложка")</f>
        <v>Обложка</v>
      </c>
      <c r="V494" s="24" t="str">
        <f>HYPERLINK("https://znanium.ru/catalog/product/1077732", "Ознакомиться")</f>
        <v>Ознакомиться</v>
      </c>
      <c r="W494" s="8" t="s">
        <v>232</v>
      </c>
      <c r="X494" s="6"/>
      <c r="Y494" s="6"/>
      <c r="Z494" s="6"/>
      <c r="AA494" s="6" t="s">
        <v>168</v>
      </c>
      <c r="AB494" s="8"/>
    </row>
    <row r="495" spans="1:28" s="4" customFormat="1" ht="42" customHeight="1">
      <c r="A495" s="5">
        <v>0</v>
      </c>
      <c r="B495" s="6" t="s">
        <v>3115</v>
      </c>
      <c r="C495" s="13">
        <v>833.9</v>
      </c>
      <c r="D495" s="8" t="s">
        <v>3116</v>
      </c>
      <c r="E495" s="8" t="s">
        <v>3117</v>
      </c>
      <c r="F495" s="8" t="s">
        <v>3118</v>
      </c>
      <c r="G495" s="6" t="s">
        <v>132</v>
      </c>
      <c r="H495" s="6" t="s">
        <v>39</v>
      </c>
      <c r="I495" s="8" t="s">
        <v>40</v>
      </c>
      <c r="J495" s="9">
        <v>1</v>
      </c>
      <c r="K495" s="9">
        <v>178</v>
      </c>
      <c r="L495" s="9">
        <v>2022</v>
      </c>
      <c r="M495" s="8" t="s">
        <v>3119</v>
      </c>
      <c r="N495" s="8" t="s">
        <v>42</v>
      </c>
      <c r="O495" s="8" t="s">
        <v>246</v>
      </c>
      <c r="P495" s="6" t="s">
        <v>44</v>
      </c>
      <c r="Q495" s="8" t="s">
        <v>45</v>
      </c>
      <c r="R495" s="10" t="s">
        <v>3120</v>
      </c>
      <c r="S495" s="11"/>
      <c r="T495" s="6"/>
      <c r="U495" s="24" t="str">
        <f>HYPERLINK("https://media.infra-m.ru/1859/1859836/cover/1859836.jpg", "Обложка")</f>
        <v>Обложка</v>
      </c>
      <c r="V495" s="24" t="str">
        <f>HYPERLINK("https://znanium.ru/catalog/product/1047174", "Ознакомиться")</f>
        <v>Ознакомиться</v>
      </c>
      <c r="W495" s="8" t="s">
        <v>346</v>
      </c>
      <c r="X495" s="6"/>
      <c r="Y495" s="6"/>
      <c r="Z495" s="6"/>
      <c r="AA495" s="6" t="s">
        <v>369</v>
      </c>
      <c r="AB495" s="8"/>
    </row>
    <row r="496" spans="1:28" s="4" customFormat="1" ht="51.95" customHeight="1">
      <c r="A496" s="5">
        <v>0</v>
      </c>
      <c r="B496" s="6" t="s">
        <v>3121</v>
      </c>
      <c r="C496" s="13">
        <v>976.8</v>
      </c>
      <c r="D496" s="8" t="s">
        <v>3122</v>
      </c>
      <c r="E496" s="8" t="s">
        <v>3123</v>
      </c>
      <c r="F496" s="8" t="s">
        <v>697</v>
      </c>
      <c r="G496" s="6" t="s">
        <v>38</v>
      </c>
      <c r="H496" s="6" t="s">
        <v>39</v>
      </c>
      <c r="I496" s="8" t="s">
        <v>40</v>
      </c>
      <c r="J496" s="9">
        <v>1</v>
      </c>
      <c r="K496" s="9">
        <v>157</v>
      </c>
      <c r="L496" s="9">
        <v>2025</v>
      </c>
      <c r="M496" s="8" t="s">
        <v>3124</v>
      </c>
      <c r="N496" s="8" t="s">
        <v>54</v>
      </c>
      <c r="O496" s="8" t="s">
        <v>91</v>
      </c>
      <c r="P496" s="6" t="s">
        <v>44</v>
      </c>
      <c r="Q496" s="8" t="s">
        <v>45</v>
      </c>
      <c r="R496" s="10" t="s">
        <v>92</v>
      </c>
      <c r="S496" s="11"/>
      <c r="T496" s="6"/>
      <c r="U496" s="24" t="str">
        <f>HYPERLINK("https://media.infra-m.ru/2208/2208452/cover/2208452.jpg", "Обложка")</f>
        <v>Обложка</v>
      </c>
      <c r="V496" s="24" t="str">
        <f>HYPERLINK("https://znanium.ru/catalog/product/2030867", "Ознакомиться")</f>
        <v>Ознакомиться</v>
      </c>
      <c r="W496" s="8" t="s">
        <v>699</v>
      </c>
      <c r="X496" s="6"/>
      <c r="Y496" s="6"/>
      <c r="Z496" s="6"/>
      <c r="AA496" s="6" t="s">
        <v>76</v>
      </c>
      <c r="AB496" s="8"/>
    </row>
    <row r="497" spans="1:28" s="4" customFormat="1" ht="44.1" customHeight="1">
      <c r="A497" s="5">
        <v>0</v>
      </c>
      <c r="B497" s="6" t="s">
        <v>3125</v>
      </c>
      <c r="C497" s="7">
        <v>1308</v>
      </c>
      <c r="D497" s="8" t="s">
        <v>3126</v>
      </c>
      <c r="E497" s="8" t="s">
        <v>3127</v>
      </c>
      <c r="F497" s="8" t="s">
        <v>3128</v>
      </c>
      <c r="G497" s="6" t="s">
        <v>38</v>
      </c>
      <c r="H497" s="6" t="s">
        <v>39</v>
      </c>
      <c r="I497" s="8" t="s">
        <v>40</v>
      </c>
      <c r="J497" s="9">
        <v>1</v>
      </c>
      <c r="K497" s="9">
        <v>218</v>
      </c>
      <c r="L497" s="9">
        <v>2025</v>
      </c>
      <c r="M497" s="8" t="s">
        <v>3129</v>
      </c>
      <c r="N497" s="8" t="s">
        <v>54</v>
      </c>
      <c r="O497" s="8" t="s">
        <v>117</v>
      </c>
      <c r="P497" s="6" t="s">
        <v>44</v>
      </c>
      <c r="Q497" s="8" t="s">
        <v>45</v>
      </c>
      <c r="R497" s="10" t="s">
        <v>3130</v>
      </c>
      <c r="S497" s="11"/>
      <c r="T497" s="6"/>
      <c r="U497" s="24" t="str">
        <f>HYPERLINK("https://media.infra-m.ru/2173/2173483/cover/2173483.jpg", "Обложка")</f>
        <v>Обложка</v>
      </c>
      <c r="V497" s="24" t="str">
        <f>HYPERLINK("https://znanium.ru/catalog/product/2173483", "Ознакомиться")</f>
        <v>Ознакомиться</v>
      </c>
      <c r="W497" s="8" t="s">
        <v>3131</v>
      </c>
      <c r="X497" s="6"/>
      <c r="Y497" s="6"/>
      <c r="Z497" s="6"/>
      <c r="AA497" s="6" t="s">
        <v>119</v>
      </c>
      <c r="AB497" s="8"/>
    </row>
    <row r="498" spans="1:28" s="4" customFormat="1" ht="42" customHeight="1">
      <c r="A498" s="5">
        <v>0</v>
      </c>
      <c r="B498" s="6" t="s">
        <v>3132</v>
      </c>
      <c r="C498" s="7">
        <v>1092</v>
      </c>
      <c r="D498" s="8" t="s">
        <v>3133</v>
      </c>
      <c r="E498" s="8" t="s">
        <v>3134</v>
      </c>
      <c r="F498" s="8" t="s">
        <v>3135</v>
      </c>
      <c r="G498" s="6" t="s">
        <v>38</v>
      </c>
      <c r="H498" s="6" t="s">
        <v>39</v>
      </c>
      <c r="I498" s="8" t="s">
        <v>40</v>
      </c>
      <c r="J498" s="9">
        <v>1</v>
      </c>
      <c r="K498" s="9">
        <v>197</v>
      </c>
      <c r="L498" s="9">
        <v>2023</v>
      </c>
      <c r="M498" s="8" t="s">
        <v>3136</v>
      </c>
      <c r="N498" s="8" t="s">
        <v>284</v>
      </c>
      <c r="O498" s="8" t="s">
        <v>717</v>
      </c>
      <c r="P498" s="6" t="s">
        <v>44</v>
      </c>
      <c r="Q498" s="8" t="s">
        <v>45</v>
      </c>
      <c r="R498" s="10" t="s">
        <v>718</v>
      </c>
      <c r="S498" s="11"/>
      <c r="T498" s="6" t="s">
        <v>1080</v>
      </c>
      <c r="U498" s="24" t="str">
        <f>HYPERLINK("https://media.infra-m.ru/2127/2127011/cover/2127011.jpg", "Обложка")</f>
        <v>Обложка</v>
      </c>
      <c r="V498" s="24" t="str">
        <f>HYPERLINK("https://znanium.ru/catalog/product/2127011", "Ознакомиться")</f>
        <v>Ознакомиться</v>
      </c>
      <c r="W498" s="8" t="s">
        <v>3137</v>
      </c>
      <c r="X498" s="6"/>
      <c r="Y498" s="6"/>
      <c r="Z498" s="6"/>
      <c r="AA498" s="6" t="s">
        <v>339</v>
      </c>
      <c r="AB498" s="8"/>
    </row>
    <row r="499" spans="1:28" s="4" customFormat="1" ht="42" customHeight="1">
      <c r="A499" s="5">
        <v>0</v>
      </c>
      <c r="B499" s="6" t="s">
        <v>3138</v>
      </c>
      <c r="C499" s="7">
        <v>3115.2</v>
      </c>
      <c r="D499" s="8" t="s">
        <v>3139</v>
      </c>
      <c r="E499" s="8" t="s">
        <v>3140</v>
      </c>
      <c r="F499" s="8"/>
      <c r="G499" s="6" t="s">
        <v>38</v>
      </c>
      <c r="H499" s="6" t="s">
        <v>99</v>
      </c>
      <c r="I499" s="8"/>
      <c r="J499" s="9">
        <v>1</v>
      </c>
      <c r="K499" s="9">
        <v>150</v>
      </c>
      <c r="L499" s="9">
        <v>2024</v>
      </c>
      <c r="M499" s="8"/>
      <c r="N499" s="8" t="s">
        <v>42</v>
      </c>
      <c r="O499" s="8" t="s">
        <v>101</v>
      </c>
      <c r="P499" s="6" t="s">
        <v>183</v>
      </c>
      <c r="Q499" s="8"/>
      <c r="R499" s="10"/>
      <c r="S499" s="11"/>
      <c r="T499" s="6"/>
      <c r="U499" s="24" t="str">
        <f>HYPERLINK("https://media.infra-m.ru/2134/2134473/cover/2134473.jpg", "Обложка")</f>
        <v>Обложка</v>
      </c>
      <c r="V499" s="24" t="str">
        <f>HYPERLINK("https://znanium.ru/catalog/product/2184275", "Ознакомиться")</f>
        <v>Ознакомиться</v>
      </c>
      <c r="W499" s="8"/>
      <c r="X499" s="6"/>
      <c r="Y499" s="6"/>
      <c r="Z499" s="6"/>
      <c r="AA499" s="6" t="s">
        <v>377</v>
      </c>
      <c r="AB499" s="8"/>
    </row>
    <row r="500" spans="1:28" s="4" customFormat="1" ht="42" customHeight="1">
      <c r="A500" s="5">
        <v>0</v>
      </c>
      <c r="B500" s="6" t="s">
        <v>3141</v>
      </c>
      <c r="C500" s="7">
        <v>3115.2</v>
      </c>
      <c r="D500" s="8" t="s">
        <v>3142</v>
      </c>
      <c r="E500" s="8" t="s">
        <v>3143</v>
      </c>
      <c r="F500" s="8"/>
      <c r="G500" s="6" t="s">
        <v>38</v>
      </c>
      <c r="H500" s="6" t="s">
        <v>99</v>
      </c>
      <c r="I500" s="8"/>
      <c r="J500" s="9">
        <v>1</v>
      </c>
      <c r="K500" s="9">
        <v>142</v>
      </c>
      <c r="L500" s="9">
        <v>2025</v>
      </c>
      <c r="M500" s="8"/>
      <c r="N500" s="8" t="s">
        <v>42</v>
      </c>
      <c r="O500" s="8" t="s">
        <v>101</v>
      </c>
      <c r="P500" s="6" t="s">
        <v>183</v>
      </c>
      <c r="Q500" s="8"/>
      <c r="R500" s="10"/>
      <c r="S500" s="11"/>
      <c r="T500" s="6"/>
      <c r="U500" s="24" t="str">
        <f>HYPERLINK("https://media.infra-m.ru/2184/2184312/cover/2184312.jpg", "Обложка")</f>
        <v>Обложка</v>
      </c>
      <c r="V500" s="24" t="str">
        <f>HYPERLINK("https://znanium.ru/catalog/product/2184275", "Ознакомиться")</f>
        <v>Ознакомиться</v>
      </c>
      <c r="W500" s="8"/>
      <c r="X500" s="6" t="s">
        <v>1094</v>
      </c>
      <c r="Y500" s="6"/>
      <c r="Z500" s="6"/>
      <c r="AA500" s="6" t="s">
        <v>58</v>
      </c>
      <c r="AB500" s="8"/>
    </row>
    <row r="501" spans="1:28" s="4" customFormat="1" ht="42" customHeight="1">
      <c r="A501" s="5">
        <v>0</v>
      </c>
      <c r="B501" s="6" t="s">
        <v>3144</v>
      </c>
      <c r="C501" s="7">
        <v>2046</v>
      </c>
      <c r="D501" s="8" t="s">
        <v>3145</v>
      </c>
      <c r="E501" s="8" t="s">
        <v>3146</v>
      </c>
      <c r="F501" s="8"/>
      <c r="G501" s="6" t="s">
        <v>38</v>
      </c>
      <c r="H501" s="6" t="s">
        <v>99</v>
      </c>
      <c r="I501" s="8"/>
      <c r="J501" s="9">
        <v>1</v>
      </c>
      <c r="K501" s="9">
        <v>180</v>
      </c>
      <c r="L501" s="9">
        <v>2024</v>
      </c>
      <c r="M501" s="8"/>
      <c r="N501" s="8" t="s">
        <v>42</v>
      </c>
      <c r="O501" s="8" t="s">
        <v>101</v>
      </c>
      <c r="P501" s="6" t="s">
        <v>183</v>
      </c>
      <c r="Q501" s="8"/>
      <c r="R501" s="10"/>
      <c r="S501" s="11"/>
      <c r="T501" s="6"/>
      <c r="U501" s="24" t="str">
        <f>HYPERLINK("https://media.infra-m.ru/2134/2134463/cover/2134463.jpg", "Обложка")</f>
        <v>Обложка</v>
      </c>
      <c r="V501" s="24" t="str">
        <f>HYPERLINK("https://znanium.ru/catalog/product/2184323", "Ознакомиться")</f>
        <v>Ознакомиться</v>
      </c>
      <c r="W501" s="8"/>
      <c r="X501" s="6"/>
      <c r="Y501" s="6"/>
      <c r="Z501" s="6"/>
      <c r="AA501" s="6" t="s">
        <v>290</v>
      </c>
      <c r="AB501" s="8"/>
    </row>
    <row r="502" spans="1:28" s="4" customFormat="1" ht="42" customHeight="1">
      <c r="A502" s="5">
        <v>0</v>
      </c>
      <c r="B502" s="6" t="s">
        <v>3147</v>
      </c>
      <c r="C502" s="7">
        <v>2046</v>
      </c>
      <c r="D502" s="8" t="s">
        <v>3148</v>
      </c>
      <c r="E502" s="8" t="s">
        <v>3149</v>
      </c>
      <c r="F502" s="8"/>
      <c r="G502" s="6" t="s">
        <v>38</v>
      </c>
      <c r="H502" s="6" t="s">
        <v>99</v>
      </c>
      <c r="I502" s="8"/>
      <c r="J502" s="9">
        <v>1</v>
      </c>
      <c r="K502" s="9">
        <v>196</v>
      </c>
      <c r="L502" s="9">
        <v>2025</v>
      </c>
      <c r="M502" s="8"/>
      <c r="N502" s="8" t="s">
        <v>42</v>
      </c>
      <c r="O502" s="8" t="s">
        <v>101</v>
      </c>
      <c r="P502" s="6" t="s">
        <v>183</v>
      </c>
      <c r="Q502" s="8"/>
      <c r="R502" s="10"/>
      <c r="S502" s="11"/>
      <c r="T502" s="6"/>
      <c r="U502" s="24" t="str">
        <f>HYPERLINK("https://media.infra-m.ru/2184/2184323/cover/2184323.jpg", "Обложка")</f>
        <v>Обложка</v>
      </c>
      <c r="V502" s="24" t="str">
        <f>HYPERLINK("https://znanium.ru/catalog/product/2184323", "Ознакомиться")</f>
        <v>Ознакомиться</v>
      </c>
      <c r="W502" s="8"/>
      <c r="X502" s="6" t="s">
        <v>3150</v>
      </c>
      <c r="Y502" s="6"/>
      <c r="Z502" s="6"/>
      <c r="AA502" s="6" t="s">
        <v>3151</v>
      </c>
      <c r="AB502" s="8"/>
    </row>
    <row r="503" spans="1:28" s="4" customFormat="1" ht="51.95" customHeight="1">
      <c r="A503" s="5">
        <v>0</v>
      </c>
      <c r="B503" s="6" t="s">
        <v>3152</v>
      </c>
      <c r="C503" s="7">
        <v>1068</v>
      </c>
      <c r="D503" s="8" t="s">
        <v>3153</v>
      </c>
      <c r="E503" s="8" t="s">
        <v>3154</v>
      </c>
      <c r="F503" s="8" t="s">
        <v>3155</v>
      </c>
      <c r="G503" s="6" t="s">
        <v>38</v>
      </c>
      <c r="H503" s="6" t="s">
        <v>39</v>
      </c>
      <c r="I503" s="8" t="s">
        <v>40</v>
      </c>
      <c r="J503" s="9">
        <v>1</v>
      </c>
      <c r="K503" s="9">
        <v>161</v>
      </c>
      <c r="L503" s="9">
        <v>2025</v>
      </c>
      <c r="M503" s="8" t="s">
        <v>3156</v>
      </c>
      <c r="N503" s="8" t="s">
        <v>229</v>
      </c>
      <c r="O503" s="8" t="s">
        <v>230</v>
      </c>
      <c r="P503" s="6" t="s">
        <v>44</v>
      </c>
      <c r="Q503" s="8" t="s">
        <v>45</v>
      </c>
      <c r="R503" s="10" t="s">
        <v>3157</v>
      </c>
      <c r="S503" s="11"/>
      <c r="T503" s="6"/>
      <c r="U503" s="24" t="str">
        <f>HYPERLINK("https://media.infra-m.ru/2203/2203351/cover/2203351.jpg", "Обложка")</f>
        <v>Обложка</v>
      </c>
      <c r="V503" s="24" t="str">
        <f>HYPERLINK("https://znanium.ru/catalog/product/2203351", "Ознакомиться")</f>
        <v>Ознакомиться</v>
      </c>
      <c r="W503" s="8" t="s">
        <v>3004</v>
      </c>
      <c r="X503" s="6" t="s">
        <v>450</v>
      </c>
      <c r="Y503" s="6"/>
      <c r="Z503" s="6"/>
      <c r="AA503" s="6" t="s">
        <v>159</v>
      </c>
      <c r="AB503" s="8"/>
    </row>
    <row r="504" spans="1:28" s="4" customFormat="1" ht="42" customHeight="1">
      <c r="A504" s="5">
        <v>0</v>
      </c>
      <c r="B504" s="6" t="s">
        <v>3158</v>
      </c>
      <c r="C504" s="7">
        <v>1840.8</v>
      </c>
      <c r="D504" s="8" t="s">
        <v>3159</v>
      </c>
      <c r="E504" s="8" t="s">
        <v>3160</v>
      </c>
      <c r="F504" s="8" t="s">
        <v>3161</v>
      </c>
      <c r="G504" s="6" t="s">
        <v>38</v>
      </c>
      <c r="H504" s="6" t="s">
        <v>39</v>
      </c>
      <c r="I504" s="8" t="s">
        <v>40</v>
      </c>
      <c r="J504" s="9">
        <v>1</v>
      </c>
      <c r="K504" s="9">
        <v>296</v>
      </c>
      <c r="L504" s="9">
        <v>2025</v>
      </c>
      <c r="M504" s="8" t="s">
        <v>3162</v>
      </c>
      <c r="N504" s="8" t="s">
        <v>284</v>
      </c>
      <c r="O504" s="8" t="s">
        <v>717</v>
      </c>
      <c r="P504" s="6" t="s">
        <v>44</v>
      </c>
      <c r="Q504" s="8" t="s">
        <v>45</v>
      </c>
      <c r="R504" s="10" t="s">
        <v>718</v>
      </c>
      <c r="S504" s="11"/>
      <c r="T504" s="6"/>
      <c r="U504" s="24" t="str">
        <f>HYPERLINK("https://media.infra-m.ru/2196/2196969/cover/2196969.jpg", "Обложка")</f>
        <v>Обложка</v>
      </c>
      <c r="V504" s="24" t="str">
        <f>HYPERLINK("https://znanium.ru/catalog/product/1024646", "Ознакомиться")</f>
        <v>Ознакомиться</v>
      </c>
      <c r="W504" s="8" t="s">
        <v>3163</v>
      </c>
      <c r="X504" s="6"/>
      <c r="Y504" s="6"/>
      <c r="Z504" s="6"/>
      <c r="AA504" s="6" t="s">
        <v>2288</v>
      </c>
      <c r="AB504" s="8"/>
    </row>
    <row r="505" spans="1:28" s="4" customFormat="1" ht="42" customHeight="1">
      <c r="A505" s="5">
        <v>0</v>
      </c>
      <c r="B505" s="6" t="s">
        <v>3164</v>
      </c>
      <c r="C505" s="13">
        <v>900</v>
      </c>
      <c r="D505" s="8" t="s">
        <v>3165</v>
      </c>
      <c r="E505" s="8" t="s">
        <v>3166</v>
      </c>
      <c r="F505" s="8" t="s">
        <v>3167</v>
      </c>
      <c r="G505" s="6" t="s">
        <v>81</v>
      </c>
      <c r="H505" s="6" t="s">
        <v>39</v>
      </c>
      <c r="I505" s="8" t="s">
        <v>40</v>
      </c>
      <c r="J505" s="9">
        <v>1</v>
      </c>
      <c r="K505" s="9">
        <v>193</v>
      </c>
      <c r="L505" s="9">
        <v>2022</v>
      </c>
      <c r="M505" s="8" t="s">
        <v>3168</v>
      </c>
      <c r="N505" s="8" t="s">
        <v>229</v>
      </c>
      <c r="O505" s="8" t="s">
        <v>230</v>
      </c>
      <c r="P505" s="6" t="s">
        <v>44</v>
      </c>
      <c r="Q505" s="8" t="s">
        <v>45</v>
      </c>
      <c r="R505" s="10" t="s">
        <v>3169</v>
      </c>
      <c r="S505" s="11"/>
      <c r="T505" s="6"/>
      <c r="U505" s="24" t="str">
        <f>HYPERLINK("https://media.infra-m.ru/1854/1854751/cover/1854751.jpg", "Обложка")</f>
        <v>Обложка</v>
      </c>
      <c r="V505" s="24" t="str">
        <f>HYPERLINK("https://znanium.ru/catalog/product/1854751", "Ознакомиться")</f>
        <v>Ознакомиться</v>
      </c>
      <c r="W505" s="8" t="s">
        <v>1049</v>
      </c>
      <c r="X505" s="6"/>
      <c r="Y505" s="6"/>
      <c r="Z505" s="6"/>
      <c r="AA505" s="6" t="s">
        <v>339</v>
      </c>
      <c r="AB505" s="8"/>
    </row>
    <row r="506" spans="1:28" s="4" customFormat="1" ht="42" customHeight="1">
      <c r="A506" s="5">
        <v>0</v>
      </c>
      <c r="B506" s="6" t="s">
        <v>3170</v>
      </c>
      <c r="C506" s="7">
        <v>1428</v>
      </c>
      <c r="D506" s="8" t="s">
        <v>3171</v>
      </c>
      <c r="E506" s="8" t="s">
        <v>3172</v>
      </c>
      <c r="F506" s="8" t="s">
        <v>697</v>
      </c>
      <c r="G506" s="6" t="s">
        <v>132</v>
      </c>
      <c r="H506" s="6" t="s">
        <v>39</v>
      </c>
      <c r="I506" s="8" t="s">
        <v>40</v>
      </c>
      <c r="J506" s="9">
        <v>1</v>
      </c>
      <c r="K506" s="9">
        <v>263</v>
      </c>
      <c r="L506" s="9">
        <v>2023</v>
      </c>
      <c r="M506" s="8" t="s">
        <v>3173</v>
      </c>
      <c r="N506" s="8" t="s">
        <v>54</v>
      </c>
      <c r="O506" s="8" t="s">
        <v>91</v>
      </c>
      <c r="P506" s="6" t="s">
        <v>44</v>
      </c>
      <c r="Q506" s="8" t="s">
        <v>45</v>
      </c>
      <c r="R506" s="10" t="s">
        <v>3174</v>
      </c>
      <c r="S506" s="11"/>
      <c r="T506" s="6"/>
      <c r="U506" s="24" t="str">
        <f>HYPERLINK("https://media.infra-m.ru/1898/1898396/cover/1898396.jpg", "Обложка")</f>
        <v>Обложка</v>
      </c>
      <c r="V506" s="24" t="str">
        <f>HYPERLINK("https://znanium.ru/catalog/product/1898396", "Ознакомиться")</f>
        <v>Ознакомиться</v>
      </c>
      <c r="W506" s="8" t="s">
        <v>699</v>
      </c>
      <c r="X506" s="6"/>
      <c r="Y506" s="6"/>
      <c r="Z506" s="6"/>
      <c r="AA506" s="6" t="s">
        <v>119</v>
      </c>
      <c r="AB506" s="8" t="s">
        <v>613</v>
      </c>
    </row>
    <row r="507" spans="1:28" s="4" customFormat="1" ht="42" customHeight="1">
      <c r="A507" s="5">
        <v>0</v>
      </c>
      <c r="B507" s="6" t="s">
        <v>3175</v>
      </c>
      <c r="C507" s="7">
        <v>1428</v>
      </c>
      <c r="D507" s="8" t="s">
        <v>3176</v>
      </c>
      <c r="E507" s="8" t="s">
        <v>3177</v>
      </c>
      <c r="F507" s="8" t="s">
        <v>3178</v>
      </c>
      <c r="G507" s="6" t="s">
        <v>38</v>
      </c>
      <c r="H507" s="6" t="s">
        <v>39</v>
      </c>
      <c r="I507" s="8" t="s">
        <v>40</v>
      </c>
      <c r="J507" s="9">
        <v>1</v>
      </c>
      <c r="K507" s="9">
        <v>216</v>
      </c>
      <c r="L507" s="9">
        <v>2026</v>
      </c>
      <c r="M507" s="8" t="s">
        <v>3179</v>
      </c>
      <c r="N507" s="8" t="s">
        <v>42</v>
      </c>
      <c r="O507" s="8" t="s">
        <v>43</v>
      </c>
      <c r="P507" s="6" t="s">
        <v>44</v>
      </c>
      <c r="Q507" s="8" t="s">
        <v>45</v>
      </c>
      <c r="R507" s="10" t="s">
        <v>3180</v>
      </c>
      <c r="S507" s="11"/>
      <c r="T507" s="6"/>
      <c r="U507" s="24" t="str">
        <f>HYPERLINK("https://media.infra-m.ru/2173/2173569/cover/2173569.jpg", "Обложка")</f>
        <v>Обложка</v>
      </c>
      <c r="V507" s="24" t="str">
        <f>HYPERLINK("https://znanium.ru/catalog/product/2173569", "Ознакомиться")</f>
        <v>Ознакомиться</v>
      </c>
      <c r="W507" s="8" t="s">
        <v>3181</v>
      </c>
      <c r="X507" s="6"/>
      <c r="Y507" s="6"/>
      <c r="Z507" s="6"/>
      <c r="AA507" s="6" t="s">
        <v>68</v>
      </c>
      <c r="AB507" s="8"/>
    </row>
    <row r="508" spans="1:28" s="4" customFormat="1" ht="42" customHeight="1">
      <c r="A508" s="5">
        <v>0</v>
      </c>
      <c r="B508" s="6" t="s">
        <v>3182</v>
      </c>
      <c r="C508" s="13">
        <v>552</v>
      </c>
      <c r="D508" s="8" t="s">
        <v>3183</v>
      </c>
      <c r="E508" s="8" t="s">
        <v>3184</v>
      </c>
      <c r="F508" s="8" t="s">
        <v>3185</v>
      </c>
      <c r="G508" s="6" t="s">
        <v>38</v>
      </c>
      <c r="H508" s="6" t="s">
        <v>39</v>
      </c>
      <c r="I508" s="8" t="s">
        <v>3186</v>
      </c>
      <c r="J508" s="9">
        <v>1</v>
      </c>
      <c r="K508" s="9">
        <v>110</v>
      </c>
      <c r="L508" s="9">
        <v>2023</v>
      </c>
      <c r="M508" s="8" t="s">
        <v>3187</v>
      </c>
      <c r="N508" s="8" t="s">
        <v>42</v>
      </c>
      <c r="O508" s="8" t="s">
        <v>101</v>
      </c>
      <c r="P508" s="6" t="s">
        <v>580</v>
      </c>
      <c r="Q508" s="8" t="s">
        <v>45</v>
      </c>
      <c r="R508" s="10" t="s">
        <v>874</v>
      </c>
      <c r="S508" s="11"/>
      <c r="T508" s="6"/>
      <c r="U508" s="24" t="str">
        <f>HYPERLINK("https://media.infra-m.ru/1870/1870569/cover/1870569.jpg", "Обложка")</f>
        <v>Обложка</v>
      </c>
      <c r="V508" s="24" t="str">
        <f>HYPERLINK("https://znanium.ru/catalog/product/1870569", "Ознакомиться")</f>
        <v>Ознакомиться</v>
      </c>
      <c r="W508" s="8" t="s">
        <v>3188</v>
      </c>
      <c r="X508" s="6"/>
      <c r="Y508" s="6"/>
      <c r="Z508" s="6"/>
      <c r="AA508" s="6" t="s">
        <v>2655</v>
      </c>
      <c r="AB508" s="8"/>
    </row>
    <row r="509" spans="1:28" s="4" customFormat="1" ht="51.95" customHeight="1">
      <c r="A509" s="5">
        <v>0</v>
      </c>
      <c r="B509" s="6" t="s">
        <v>3189</v>
      </c>
      <c r="C509" s="7">
        <v>1200</v>
      </c>
      <c r="D509" s="8" t="s">
        <v>3190</v>
      </c>
      <c r="E509" s="8" t="s">
        <v>3191</v>
      </c>
      <c r="F509" s="8" t="s">
        <v>3192</v>
      </c>
      <c r="G509" s="6" t="s">
        <v>132</v>
      </c>
      <c r="H509" s="6" t="s">
        <v>39</v>
      </c>
      <c r="I509" s="8" t="s">
        <v>828</v>
      </c>
      <c r="J509" s="9">
        <v>1</v>
      </c>
      <c r="K509" s="9">
        <v>198</v>
      </c>
      <c r="L509" s="9">
        <v>2025</v>
      </c>
      <c r="M509" s="8" t="s">
        <v>3193</v>
      </c>
      <c r="N509" s="8" t="s">
        <v>54</v>
      </c>
      <c r="O509" s="8" t="s">
        <v>55</v>
      </c>
      <c r="P509" s="6" t="s">
        <v>659</v>
      </c>
      <c r="Q509" s="8" t="s">
        <v>287</v>
      </c>
      <c r="R509" s="10" t="s">
        <v>3194</v>
      </c>
      <c r="S509" s="11"/>
      <c r="T509" s="6"/>
      <c r="U509" s="24" t="str">
        <f>HYPERLINK("https://media.infra-m.ru/1893/1893882/cover/1893882.jpg", "Обложка")</f>
        <v>Обложка</v>
      </c>
      <c r="V509" s="24" t="str">
        <f>HYPERLINK("https://znanium.ru/catalog/product/1893882", "Ознакомиться")</f>
        <v>Ознакомиться</v>
      </c>
      <c r="W509" s="8" t="s">
        <v>2047</v>
      </c>
      <c r="X509" s="6" t="s">
        <v>517</v>
      </c>
      <c r="Y509" s="6"/>
      <c r="Z509" s="6"/>
      <c r="AA509" s="6" t="s">
        <v>159</v>
      </c>
      <c r="AB509" s="8"/>
    </row>
    <row r="510" spans="1:28" s="4" customFormat="1" ht="42" customHeight="1">
      <c r="A510" s="5">
        <v>0</v>
      </c>
      <c r="B510" s="6" t="s">
        <v>3195</v>
      </c>
      <c r="C510" s="13">
        <v>864</v>
      </c>
      <c r="D510" s="8" t="s">
        <v>3196</v>
      </c>
      <c r="E510" s="8" t="s">
        <v>3197</v>
      </c>
      <c r="F510" s="8" t="s">
        <v>3198</v>
      </c>
      <c r="G510" s="6" t="s">
        <v>38</v>
      </c>
      <c r="H510" s="6" t="s">
        <v>39</v>
      </c>
      <c r="I510" s="8" t="s">
        <v>40</v>
      </c>
      <c r="J510" s="9">
        <v>1</v>
      </c>
      <c r="K510" s="9">
        <v>158</v>
      </c>
      <c r="L510" s="9">
        <v>2023</v>
      </c>
      <c r="M510" s="8" t="s">
        <v>3199</v>
      </c>
      <c r="N510" s="8" t="s">
        <v>42</v>
      </c>
      <c r="O510" s="8" t="s">
        <v>101</v>
      </c>
      <c r="P510" s="6" t="s">
        <v>44</v>
      </c>
      <c r="Q510" s="8" t="s">
        <v>45</v>
      </c>
      <c r="R510" s="10" t="s">
        <v>564</v>
      </c>
      <c r="S510" s="11"/>
      <c r="T510" s="6"/>
      <c r="U510" s="24" t="str">
        <f>HYPERLINK("https://media.infra-m.ru/2038/2038289/cover/2038289.jpg", "Обложка")</f>
        <v>Обложка</v>
      </c>
      <c r="V510" s="24" t="str">
        <f>HYPERLINK("https://znanium.ru/catalog/product/2038289", "Ознакомиться")</f>
        <v>Ознакомиться</v>
      </c>
      <c r="W510" s="8" t="s">
        <v>167</v>
      </c>
      <c r="X510" s="6"/>
      <c r="Y510" s="6"/>
      <c r="Z510" s="6"/>
      <c r="AA510" s="6" t="s">
        <v>76</v>
      </c>
      <c r="AB510" s="8"/>
    </row>
    <row r="511" spans="1:28" s="4" customFormat="1" ht="44.1" customHeight="1">
      <c r="A511" s="5">
        <v>0</v>
      </c>
      <c r="B511" s="6" t="s">
        <v>3200</v>
      </c>
      <c r="C511" s="13">
        <v>600</v>
      </c>
      <c r="D511" s="8" t="s">
        <v>3201</v>
      </c>
      <c r="E511" s="8" t="s">
        <v>3202</v>
      </c>
      <c r="F511" s="8" t="s">
        <v>3203</v>
      </c>
      <c r="G511" s="6" t="s">
        <v>38</v>
      </c>
      <c r="H511" s="6" t="s">
        <v>39</v>
      </c>
      <c r="I511" s="8" t="s">
        <v>336</v>
      </c>
      <c r="J511" s="9">
        <v>1</v>
      </c>
      <c r="K511" s="9">
        <v>96</v>
      </c>
      <c r="L511" s="9">
        <v>2024</v>
      </c>
      <c r="M511" s="8" t="s">
        <v>3204</v>
      </c>
      <c r="N511" s="8" t="s">
        <v>42</v>
      </c>
      <c r="O511" s="8" t="s">
        <v>101</v>
      </c>
      <c r="P511" s="6" t="s">
        <v>44</v>
      </c>
      <c r="Q511" s="8" t="s">
        <v>45</v>
      </c>
      <c r="R511" s="10" t="s">
        <v>3205</v>
      </c>
      <c r="S511" s="11"/>
      <c r="T511" s="6"/>
      <c r="U511" s="24" t="str">
        <f>HYPERLINK("https://media.infra-m.ru/2125/2125829/cover/2125829.jpg", "Обложка")</f>
        <v>Обложка</v>
      </c>
      <c r="V511" s="24" t="str">
        <f>HYPERLINK("https://znanium.ru/catalog/product/2125829", "Ознакомиться")</f>
        <v>Ознакомиться</v>
      </c>
      <c r="W511" s="8" t="s">
        <v>103</v>
      </c>
      <c r="X511" s="6"/>
      <c r="Y511" s="6"/>
      <c r="Z511" s="6"/>
      <c r="AA511" s="6" t="s">
        <v>339</v>
      </c>
      <c r="AB511" s="8"/>
    </row>
    <row r="512" spans="1:28" s="4" customFormat="1" ht="42" customHeight="1">
      <c r="A512" s="5">
        <v>0</v>
      </c>
      <c r="B512" s="6" t="s">
        <v>3206</v>
      </c>
      <c r="C512" s="7">
        <v>2548.8000000000002</v>
      </c>
      <c r="D512" s="8" t="s">
        <v>3207</v>
      </c>
      <c r="E512" s="8" t="s">
        <v>3208</v>
      </c>
      <c r="F512" s="8" t="s">
        <v>1371</v>
      </c>
      <c r="G512" s="6" t="s">
        <v>132</v>
      </c>
      <c r="H512" s="6" t="s">
        <v>99</v>
      </c>
      <c r="I512" s="8"/>
      <c r="J512" s="9">
        <v>1</v>
      </c>
      <c r="K512" s="9">
        <v>452</v>
      </c>
      <c r="L512" s="9">
        <v>2024</v>
      </c>
      <c r="M512" s="8" t="s">
        <v>3209</v>
      </c>
      <c r="N512" s="8" t="s">
        <v>42</v>
      </c>
      <c r="O512" s="8" t="s">
        <v>101</v>
      </c>
      <c r="P512" s="6" t="s">
        <v>44</v>
      </c>
      <c r="Q512" s="8" t="s">
        <v>45</v>
      </c>
      <c r="R512" s="10" t="s">
        <v>600</v>
      </c>
      <c r="S512" s="11"/>
      <c r="T512" s="6"/>
      <c r="U512" s="24" t="str">
        <f>HYPERLINK("https://media.infra-m.ru/2148/2148537/cover/2148537.jpg", "Обложка")</f>
        <v>Обложка</v>
      </c>
      <c r="V512" s="24" t="str">
        <f>HYPERLINK("https://znanium.ru/catalog/product/1875006", "Ознакомиться")</f>
        <v>Ознакомиться</v>
      </c>
      <c r="W512" s="8" t="s">
        <v>418</v>
      </c>
      <c r="X512" s="6"/>
      <c r="Y512" s="6"/>
      <c r="Z512" s="6"/>
      <c r="AA512" s="6" t="s">
        <v>369</v>
      </c>
      <c r="AB512" s="8"/>
    </row>
    <row r="513" spans="1:28" s="4" customFormat="1" ht="44.1" customHeight="1">
      <c r="A513" s="5">
        <v>0</v>
      </c>
      <c r="B513" s="6" t="s">
        <v>3210</v>
      </c>
      <c r="C513" s="7">
        <v>2104.8000000000002</v>
      </c>
      <c r="D513" s="8" t="s">
        <v>3211</v>
      </c>
      <c r="E513" s="8" t="s">
        <v>3212</v>
      </c>
      <c r="F513" s="8" t="s">
        <v>2285</v>
      </c>
      <c r="G513" s="6" t="s">
        <v>132</v>
      </c>
      <c r="H513" s="6" t="s">
        <v>99</v>
      </c>
      <c r="I513" s="8"/>
      <c r="J513" s="9">
        <v>1</v>
      </c>
      <c r="K513" s="9">
        <v>336</v>
      </c>
      <c r="L513" s="9">
        <v>2025</v>
      </c>
      <c r="M513" s="8" t="s">
        <v>3213</v>
      </c>
      <c r="N513" s="8" t="s">
        <v>42</v>
      </c>
      <c r="O513" s="8" t="s">
        <v>101</v>
      </c>
      <c r="P513" s="6" t="s">
        <v>44</v>
      </c>
      <c r="Q513" s="8" t="s">
        <v>45</v>
      </c>
      <c r="R513" s="10" t="s">
        <v>1587</v>
      </c>
      <c r="S513" s="11"/>
      <c r="T513" s="6"/>
      <c r="U513" s="24" t="str">
        <f>HYPERLINK("https://media.infra-m.ru/2183/2183393/cover/2183393.jpg", "Обложка")</f>
        <v>Обложка</v>
      </c>
      <c r="V513" s="24" t="str">
        <f>HYPERLINK("https://znanium.ru/catalog/product/1216474", "Ознакомиться")</f>
        <v>Ознакомиться</v>
      </c>
      <c r="W513" s="8" t="s">
        <v>565</v>
      </c>
      <c r="X513" s="6"/>
      <c r="Y513" s="6"/>
      <c r="Z513" s="6"/>
      <c r="AA513" s="6" t="s">
        <v>1556</v>
      </c>
      <c r="AB513" s="8"/>
    </row>
    <row r="514" spans="1:28" s="4" customFormat="1" ht="44.1" customHeight="1">
      <c r="A514" s="5">
        <v>0</v>
      </c>
      <c r="B514" s="6" t="s">
        <v>3214</v>
      </c>
      <c r="C514" s="7">
        <v>1348.8</v>
      </c>
      <c r="D514" s="8" t="s">
        <v>3215</v>
      </c>
      <c r="E514" s="8" t="s">
        <v>3216</v>
      </c>
      <c r="F514" s="8" t="s">
        <v>3217</v>
      </c>
      <c r="G514" s="6" t="s">
        <v>38</v>
      </c>
      <c r="H514" s="6" t="s">
        <v>39</v>
      </c>
      <c r="I514" s="8" t="s">
        <v>40</v>
      </c>
      <c r="J514" s="9">
        <v>1</v>
      </c>
      <c r="K514" s="9">
        <v>216</v>
      </c>
      <c r="L514" s="9">
        <v>2025</v>
      </c>
      <c r="M514" s="8" t="s">
        <v>3218</v>
      </c>
      <c r="N514" s="8" t="s">
        <v>42</v>
      </c>
      <c r="O514" s="8" t="s">
        <v>101</v>
      </c>
      <c r="P514" s="6" t="s">
        <v>44</v>
      </c>
      <c r="Q514" s="8" t="s">
        <v>45</v>
      </c>
      <c r="R514" s="10" t="s">
        <v>3219</v>
      </c>
      <c r="S514" s="11"/>
      <c r="T514" s="6"/>
      <c r="U514" s="24" t="str">
        <f>HYPERLINK("https://media.infra-m.ru/2192/2192154/cover/2192154.jpg", "Обложка")</f>
        <v>Обложка</v>
      </c>
      <c r="V514" s="24" t="str">
        <f>HYPERLINK("https://znanium.ru/catalog/product/2029787", "Ознакомиться")</f>
        <v>Ознакомиться</v>
      </c>
      <c r="W514" s="8" t="s">
        <v>1010</v>
      </c>
      <c r="X514" s="6"/>
      <c r="Y514" s="6"/>
      <c r="Z514" s="6"/>
      <c r="AA514" s="6" t="s">
        <v>168</v>
      </c>
      <c r="AB514" s="8"/>
    </row>
    <row r="515" spans="1:28" s="4" customFormat="1" ht="51.95" customHeight="1">
      <c r="A515" s="5">
        <v>0</v>
      </c>
      <c r="B515" s="6" t="s">
        <v>3220</v>
      </c>
      <c r="C515" s="7">
        <v>1744.8</v>
      </c>
      <c r="D515" s="8" t="s">
        <v>3221</v>
      </c>
      <c r="E515" s="8" t="s">
        <v>3222</v>
      </c>
      <c r="F515" s="8" t="s">
        <v>3223</v>
      </c>
      <c r="G515" s="6" t="s">
        <v>132</v>
      </c>
      <c r="H515" s="6" t="s">
        <v>99</v>
      </c>
      <c r="I515" s="8"/>
      <c r="J515" s="9">
        <v>1</v>
      </c>
      <c r="K515" s="9">
        <v>280</v>
      </c>
      <c r="L515" s="9">
        <v>2026</v>
      </c>
      <c r="M515" s="8" t="s">
        <v>3224</v>
      </c>
      <c r="N515" s="8" t="s">
        <v>42</v>
      </c>
      <c r="O515" s="8" t="s">
        <v>101</v>
      </c>
      <c r="P515" s="6" t="s">
        <v>580</v>
      </c>
      <c r="Q515" s="8" t="s">
        <v>45</v>
      </c>
      <c r="R515" s="10" t="s">
        <v>1798</v>
      </c>
      <c r="S515" s="11"/>
      <c r="T515" s="6"/>
      <c r="U515" s="24" t="str">
        <f>HYPERLINK("https://media.infra-m.ru/2216/2216178/cover/2216178.jpg", "Обложка")</f>
        <v>Обложка</v>
      </c>
      <c r="V515" s="24" t="str">
        <f>HYPERLINK("https://znanium.ru/catalog/product/2215886", "Ознакомиться")</f>
        <v>Ознакомиться</v>
      </c>
      <c r="W515" s="8" t="s">
        <v>103</v>
      </c>
      <c r="X515" s="6"/>
      <c r="Y515" s="6"/>
      <c r="Z515" s="6"/>
      <c r="AA515" s="6" t="s">
        <v>58</v>
      </c>
      <c r="AB515" s="8"/>
    </row>
    <row r="516" spans="1:28" s="4" customFormat="1" ht="44.1" customHeight="1">
      <c r="A516" s="5">
        <v>0</v>
      </c>
      <c r="B516" s="6" t="s">
        <v>3225</v>
      </c>
      <c r="C516" s="7">
        <v>1068</v>
      </c>
      <c r="D516" s="8" t="s">
        <v>3226</v>
      </c>
      <c r="E516" s="8" t="s">
        <v>3227</v>
      </c>
      <c r="F516" s="8" t="s">
        <v>3228</v>
      </c>
      <c r="G516" s="6" t="s">
        <v>38</v>
      </c>
      <c r="H516" s="6" t="s">
        <v>39</v>
      </c>
      <c r="I516" s="8" t="s">
        <v>40</v>
      </c>
      <c r="J516" s="9">
        <v>1</v>
      </c>
      <c r="K516" s="9">
        <v>184</v>
      </c>
      <c r="L516" s="9">
        <v>2022</v>
      </c>
      <c r="M516" s="8" t="s">
        <v>3229</v>
      </c>
      <c r="N516" s="8" t="s">
        <v>284</v>
      </c>
      <c r="O516" s="8" t="s">
        <v>482</v>
      </c>
      <c r="P516" s="6" t="s">
        <v>44</v>
      </c>
      <c r="Q516" s="8" t="s">
        <v>45</v>
      </c>
      <c r="R516" s="10" t="s">
        <v>2765</v>
      </c>
      <c r="S516" s="11"/>
      <c r="T516" s="6"/>
      <c r="U516" s="24" t="str">
        <f>HYPERLINK("https://media.infra-m.ru/1870/1870595/cover/1870595.jpg", "Обложка")</f>
        <v>Обложка</v>
      </c>
      <c r="V516" s="24" t="str">
        <f>HYPERLINK("https://znanium.ru/catalog/product/1870595", "Ознакомиться")</f>
        <v>Ознакомиться</v>
      </c>
      <c r="W516" s="8" t="s">
        <v>3230</v>
      </c>
      <c r="X516" s="6"/>
      <c r="Y516" s="6"/>
      <c r="Z516" s="6"/>
      <c r="AA516" s="6" t="s">
        <v>111</v>
      </c>
      <c r="AB516" s="8"/>
    </row>
    <row r="517" spans="1:28" s="4" customFormat="1" ht="42" customHeight="1">
      <c r="A517" s="5">
        <v>0</v>
      </c>
      <c r="B517" s="6" t="s">
        <v>3231</v>
      </c>
      <c r="C517" s="7">
        <v>1068</v>
      </c>
      <c r="D517" s="8" t="s">
        <v>3232</v>
      </c>
      <c r="E517" s="8" t="s">
        <v>3233</v>
      </c>
      <c r="F517" s="8" t="s">
        <v>3234</v>
      </c>
      <c r="G517" s="6" t="s">
        <v>38</v>
      </c>
      <c r="H517" s="6" t="s">
        <v>39</v>
      </c>
      <c r="I517" s="8" t="s">
        <v>40</v>
      </c>
      <c r="J517" s="9">
        <v>1</v>
      </c>
      <c r="K517" s="9">
        <v>192</v>
      </c>
      <c r="L517" s="9">
        <v>2023</v>
      </c>
      <c r="M517" s="8" t="s">
        <v>3235</v>
      </c>
      <c r="N517" s="8" t="s">
        <v>284</v>
      </c>
      <c r="O517" s="8" t="s">
        <v>717</v>
      </c>
      <c r="P517" s="6" t="s">
        <v>44</v>
      </c>
      <c r="Q517" s="8" t="s">
        <v>45</v>
      </c>
      <c r="R517" s="10" t="s">
        <v>718</v>
      </c>
      <c r="S517" s="11"/>
      <c r="T517" s="6"/>
      <c r="U517" s="24" t="str">
        <f>HYPERLINK("https://media.infra-m.ru/2127/2127022/cover/2127022.jpg", "Обложка")</f>
        <v>Обложка</v>
      </c>
      <c r="V517" s="24" t="str">
        <f>HYPERLINK("https://znanium.ru/catalog/product/2127022", "Ознакомиться")</f>
        <v>Ознакомиться</v>
      </c>
      <c r="W517" s="8" t="s">
        <v>3236</v>
      </c>
      <c r="X517" s="6"/>
      <c r="Y517" s="6"/>
      <c r="Z517" s="6"/>
      <c r="AA517" s="6" t="s">
        <v>168</v>
      </c>
      <c r="AB517" s="8"/>
    </row>
    <row r="518" spans="1:28" s="4" customFormat="1" ht="42" customHeight="1">
      <c r="A518" s="5">
        <v>0</v>
      </c>
      <c r="B518" s="6" t="s">
        <v>3237</v>
      </c>
      <c r="C518" s="7">
        <v>1468.8</v>
      </c>
      <c r="D518" s="8" t="s">
        <v>3238</v>
      </c>
      <c r="E518" s="8" t="s">
        <v>3239</v>
      </c>
      <c r="F518" s="8" t="s">
        <v>3240</v>
      </c>
      <c r="G518" s="6" t="s">
        <v>132</v>
      </c>
      <c r="H518" s="6" t="s">
        <v>99</v>
      </c>
      <c r="I518" s="8"/>
      <c r="J518" s="9">
        <v>1</v>
      </c>
      <c r="K518" s="9">
        <v>272</v>
      </c>
      <c r="L518" s="9">
        <v>2023</v>
      </c>
      <c r="M518" s="8" t="s">
        <v>3241</v>
      </c>
      <c r="N518" s="8" t="s">
        <v>42</v>
      </c>
      <c r="O518" s="8" t="s">
        <v>101</v>
      </c>
      <c r="P518" s="6" t="s">
        <v>44</v>
      </c>
      <c r="Q518" s="8" t="s">
        <v>45</v>
      </c>
      <c r="R518" s="10" t="s">
        <v>600</v>
      </c>
      <c r="S518" s="11"/>
      <c r="T518" s="6"/>
      <c r="U518" s="24" t="str">
        <f>HYPERLINK("https://media.infra-m.ru/1876/1876636/cover/1876636.jpg", "Обложка")</f>
        <v>Обложка</v>
      </c>
      <c r="V518" s="24" t="str">
        <f>HYPERLINK("https://znanium.ru/catalog/product/1082761", "Ознакомиться")</f>
        <v>Ознакомиться</v>
      </c>
      <c r="W518" s="8" t="s">
        <v>516</v>
      </c>
      <c r="X518" s="6"/>
      <c r="Y518" s="6"/>
      <c r="Z518" s="6"/>
      <c r="AA518" s="6" t="s">
        <v>339</v>
      </c>
      <c r="AB518" s="8"/>
    </row>
    <row r="519" spans="1:28" s="4" customFormat="1" ht="42" customHeight="1">
      <c r="A519" s="5">
        <v>0</v>
      </c>
      <c r="B519" s="6" t="s">
        <v>3242</v>
      </c>
      <c r="C519" s="7">
        <v>1032</v>
      </c>
      <c r="D519" s="8" t="s">
        <v>3243</v>
      </c>
      <c r="E519" s="8" t="s">
        <v>3244</v>
      </c>
      <c r="F519" s="8" t="s">
        <v>3245</v>
      </c>
      <c r="G519" s="6" t="s">
        <v>38</v>
      </c>
      <c r="H519" s="6" t="s">
        <v>1019</v>
      </c>
      <c r="I519" s="8" t="s">
        <v>1020</v>
      </c>
      <c r="J519" s="9">
        <v>1</v>
      </c>
      <c r="K519" s="9">
        <v>160</v>
      </c>
      <c r="L519" s="9">
        <v>2025</v>
      </c>
      <c r="M519" s="8" t="s">
        <v>3246</v>
      </c>
      <c r="N519" s="8" t="s">
        <v>284</v>
      </c>
      <c r="O519" s="8" t="s">
        <v>328</v>
      </c>
      <c r="P519" s="6" t="s">
        <v>44</v>
      </c>
      <c r="Q519" s="8" t="s">
        <v>45</v>
      </c>
      <c r="R519" s="10" t="s">
        <v>3247</v>
      </c>
      <c r="S519" s="11"/>
      <c r="T519" s="6"/>
      <c r="U519" s="24" t="str">
        <f>HYPERLINK("https://media.infra-m.ru/2196/2196088/cover/2196088.jpg", "Обложка")</f>
        <v>Обложка</v>
      </c>
      <c r="V519" s="24" t="str">
        <f>HYPERLINK("https://znanium.ru/catalog/product/2196088", "Ознакомиться")</f>
        <v>Ознакомиться</v>
      </c>
      <c r="W519" s="8" t="s">
        <v>176</v>
      </c>
      <c r="X519" s="6"/>
      <c r="Y519" s="6" t="s">
        <v>30</v>
      </c>
      <c r="Z519" s="6"/>
      <c r="AA519" s="6" t="s">
        <v>369</v>
      </c>
      <c r="AB519" s="8"/>
    </row>
    <row r="520" spans="1:28" s="4" customFormat="1" ht="42" customHeight="1">
      <c r="A520" s="5">
        <v>0</v>
      </c>
      <c r="B520" s="6" t="s">
        <v>3248</v>
      </c>
      <c r="C520" s="7">
        <v>1164</v>
      </c>
      <c r="D520" s="8" t="s">
        <v>3249</v>
      </c>
      <c r="E520" s="8" t="s">
        <v>3250</v>
      </c>
      <c r="F520" s="8" t="s">
        <v>3251</v>
      </c>
      <c r="G520" s="6" t="s">
        <v>38</v>
      </c>
      <c r="H520" s="6" t="s">
        <v>39</v>
      </c>
      <c r="I520" s="8" t="s">
        <v>40</v>
      </c>
      <c r="J520" s="9">
        <v>1</v>
      </c>
      <c r="K520" s="9">
        <v>205</v>
      </c>
      <c r="L520" s="9">
        <v>2024</v>
      </c>
      <c r="M520" s="8" t="s">
        <v>3252</v>
      </c>
      <c r="N520" s="8" t="s">
        <v>42</v>
      </c>
      <c r="O520" s="8" t="s">
        <v>101</v>
      </c>
      <c r="P520" s="6" t="s">
        <v>44</v>
      </c>
      <c r="Q520" s="8" t="s">
        <v>45</v>
      </c>
      <c r="R520" s="10" t="s">
        <v>3253</v>
      </c>
      <c r="S520" s="11"/>
      <c r="T520" s="6"/>
      <c r="U520" s="24" t="str">
        <f>HYPERLINK("https://media.infra-m.ru/2136/2136742/cover/2136742.jpg", "Обложка")</f>
        <v>Обложка</v>
      </c>
      <c r="V520" s="24" t="str">
        <f>HYPERLINK("https://znanium.ru/catalog/product/2136742", "Ознакомиться")</f>
        <v>Ознакомиться</v>
      </c>
      <c r="W520" s="8" t="s">
        <v>3254</v>
      </c>
      <c r="X520" s="6"/>
      <c r="Y520" s="6"/>
      <c r="Z520" s="6"/>
      <c r="AA520" s="6" t="s">
        <v>119</v>
      </c>
      <c r="AB520" s="8" t="s">
        <v>766</v>
      </c>
    </row>
    <row r="521" spans="1:28" s="4" customFormat="1" ht="42" customHeight="1">
      <c r="A521" s="5">
        <v>0</v>
      </c>
      <c r="B521" s="6" t="s">
        <v>3255</v>
      </c>
      <c r="C521" s="7">
        <v>2092.8000000000002</v>
      </c>
      <c r="D521" s="8" t="s">
        <v>3256</v>
      </c>
      <c r="E521" s="8" t="s">
        <v>3257</v>
      </c>
      <c r="F521" s="8" t="s">
        <v>3258</v>
      </c>
      <c r="G521" s="6" t="s">
        <v>132</v>
      </c>
      <c r="H521" s="6" t="s">
        <v>182</v>
      </c>
      <c r="I521" s="8" t="s">
        <v>3259</v>
      </c>
      <c r="J521" s="9">
        <v>1</v>
      </c>
      <c r="K521" s="9">
        <v>377</v>
      </c>
      <c r="L521" s="9">
        <v>2024</v>
      </c>
      <c r="M521" s="8" t="s">
        <v>3260</v>
      </c>
      <c r="N521" s="8" t="s">
        <v>42</v>
      </c>
      <c r="O521" s="8" t="s">
        <v>101</v>
      </c>
      <c r="P521" s="6" t="s">
        <v>44</v>
      </c>
      <c r="Q521" s="8" t="s">
        <v>45</v>
      </c>
      <c r="R521" s="10" t="s">
        <v>600</v>
      </c>
      <c r="S521" s="11"/>
      <c r="T521" s="6"/>
      <c r="U521" s="24" t="str">
        <f>HYPERLINK("https://media.infra-m.ru/1895/1895633/cover/1895633.jpg", "Обложка")</f>
        <v>Обложка</v>
      </c>
      <c r="V521" s="24" t="str">
        <f>HYPERLINK("https://znanium.ru/catalog/product/1039319", "Ознакомиться")</f>
        <v>Ознакомиться</v>
      </c>
      <c r="W521" s="8" t="s">
        <v>565</v>
      </c>
      <c r="X521" s="6"/>
      <c r="Y521" s="6"/>
      <c r="Z521" s="6"/>
      <c r="AA521" s="6" t="s">
        <v>68</v>
      </c>
      <c r="AB521" s="8"/>
    </row>
    <row r="522" spans="1:28" s="4" customFormat="1" ht="51.95" customHeight="1">
      <c r="A522" s="5">
        <v>0</v>
      </c>
      <c r="B522" s="6" t="s">
        <v>3261</v>
      </c>
      <c r="C522" s="13">
        <v>900</v>
      </c>
      <c r="D522" s="8" t="s">
        <v>3262</v>
      </c>
      <c r="E522" s="8" t="s">
        <v>3263</v>
      </c>
      <c r="F522" s="8" t="s">
        <v>3264</v>
      </c>
      <c r="G522" s="6" t="s">
        <v>38</v>
      </c>
      <c r="H522" s="6" t="s">
        <v>39</v>
      </c>
      <c r="I522" s="8" t="s">
        <v>40</v>
      </c>
      <c r="J522" s="9">
        <v>1</v>
      </c>
      <c r="K522" s="9">
        <v>178</v>
      </c>
      <c r="L522" s="9">
        <v>2022</v>
      </c>
      <c r="M522" s="8" t="s">
        <v>3265</v>
      </c>
      <c r="N522" s="8" t="s">
        <v>42</v>
      </c>
      <c r="O522" s="8" t="s">
        <v>101</v>
      </c>
      <c r="P522" s="6" t="s">
        <v>44</v>
      </c>
      <c r="Q522" s="8" t="s">
        <v>45</v>
      </c>
      <c r="R522" s="10" t="s">
        <v>3266</v>
      </c>
      <c r="S522" s="11"/>
      <c r="T522" s="6"/>
      <c r="U522" s="24" t="str">
        <f>HYPERLINK("https://media.infra-m.ru/1878/1878665/cover/1878665.jpg", "Обложка")</f>
        <v>Обложка</v>
      </c>
      <c r="V522" s="24" t="str">
        <f>HYPERLINK("https://znanium.ru/catalog/product/1484524", "Ознакомиться")</f>
        <v>Ознакомиться</v>
      </c>
      <c r="W522" s="8" t="s">
        <v>535</v>
      </c>
      <c r="X522" s="6"/>
      <c r="Y522" s="6"/>
      <c r="Z522" s="6"/>
      <c r="AA522" s="6" t="s">
        <v>111</v>
      </c>
      <c r="AB522" s="8"/>
    </row>
    <row r="523" spans="1:28" s="4" customFormat="1" ht="44.1" customHeight="1">
      <c r="A523" s="5">
        <v>0</v>
      </c>
      <c r="B523" s="6" t="s">
        <v>3267</v>
      </c>
      <c r="C523" s="7">
        <v>1300.8</v>
      </c>
      <c r="D523" s="8" t="s">
        <v>3268</v>
      </c>
      <c r="E523" s="8" t="s">
        <v>3269</v>
      </c>
      <c r="F523" s="8" t="s">
        <v>3270</v>
      </c>
      <c r="G523" s="6" t="s">
        <v>38</v>
      </c>
      <c r="H523" s="6" t="s">
        <v>39</v>
      </c>
      <c r="I523" s="8" t="s">
        <v>40</v>
      </c>
      <c r="J523" s="9">
        <v>1</v>
      </c>
      <c r="K523" s="9">
        <v>216</v>
      </c>
      <c r="L523" s="9">
        <v>2025</v>
      </c>
      <c r="M523" s="8" t="s">
        <v>3271</v>
      </c>
      <c r="N523" s="8" t="s">
        <v>42</v>
      </c>
      <c r="O523" s="8" t="s">
        <v>101</v>
      </c>
      <c r="P523" s="6" t="s">
        <v>44</v>
      </c>
      <c r="Q523" s="8" t="s">
        <v>45</v>
      </c>
      <c r="R523" s="10" t="s">
        <v>874</v>
      </c>
      <c r="S523" s="11"/>
      <c r="T523" s="6"/>
      <c r="U523" s="24" t="str">
        <f>HYPERLINK("https://media.infra-m.ru/2184/2184872/cover/2184872.jpg", "Обложка")</f>
        <v>Обложка</v>
      </c>
      <c r="V523" s="24" t="str">
        <f>HYPERLINK("https://znanium.ru/catalog/product/1039436", "Ознакомиться")</f>
        <v>Ознакомиться</v>
      </c>
      <c r="W523" s="8" t="s">
        <v>418</v>
      </c>
      <c r="X523" s="6"/>
      <c r="Y523" s="6"/>
      <c r="Z523" s="6"/>
      <c r="AA523" s="6" t="s">
        <v>168</v>
      </c>
      <c r="AB523" s="8"/>
    </row>
    <row r="524" spans="1:28" s="4" customFormat="1" ht="51.95" customHeight="1">
      <c r="A524" s="5">
        <v>0</v>
      </c>
      <c r="B524" s="6" t="s">
        <v>3272</v>
      </c>
      <c r="C524" s="13">
        <v>617.9</v>
      </c>
      <c r="D524" s="8" t="s">
        <v>3273</v>
      </c>
      <c r="E524" s="8" t="s">
        <v>3274</v>
      </c>
      <c r="F524" s="8" t="s">
        <v>3275</v>
      </c>
      <c r="G524" s="6" t="s">
        <v>38</v>
      </c>
      <c r="H524" s="6" t="s">
        <v>99</v>
      </c>
      <c r="I524" s="8"/>
      <c r="J524" s="9">
        <v>1</v>
      </c>
      <c r="K524" s="9">
        <v>128</v>
      </c>
      <c r="L524" s="9">
        <v>2020</v>
      </c>
      <c r="M524" s="8" t="s">
        <v>3276</v>
      </c>
      <c r="N524" s="8" t="s">
        <v>42</v>
      </c>
      <c r="O524" s="8" t="s">
        <v>101</v>
      </c>
      <c r="P524" s="6" t="s">
        <v>44</v>
      </c>
      <c r="Q524" s="8" t="s">
        <v>45</v>
      </c>
      <c r="R524" s="10" t="s">
        <v>2898</v>
      </c>
      <c r="S524" s="11"/>
      <c r="T524" s="6"/>
      <c r="U524" s="24" t="str">
        <f>HYPERLINK("https://media.infra-m.ru/1058/1058761/cover/1058761.jpg", "Обложка")</f>
        <v>Обложка</v>
      </c>
      <c r="V524" s="24" t="str">
        <f>HYPERLINK("https://znanium.ru/catalog/product/1058761", "Ознакомиться")</f>
        <v>Ознакомиться</v>
      </c>
      <c r="W524" s="8" t="s">
        <v>103</v>
      </c>
      <c r="X524" s="6"/>
      <c r="Y524" s="6"/>
      <c r="Z524" s="6"/>
      <c r="AA524" s="6" t="s">
        <v>369</v>
      </c>
      <c r="AB524" s="8"/>
    </row>
    <row r="525" spans="1:28" s="4" customFormat="1" ht="42" customHeight="1">
      <c r="A525" s="5">
        <v>0</v>
      </c>
      <c r="B525" s="6" t="s">
        <v>3277</v>
      </c>
      <c r="C525" s="7">
        <v>3172.8</v>
      </c>
      <c r="D525" s="8" t="s">
        <v>3278</v>
      </c>
      <c r="E525" s="8" t="s">
        <v>3279</v>
      </c>
      <c r="F525" s="8" t="s">
        <v>3280</v>
      </c>
      <c r="G525" s="6" t="s">
        <v>81</v>
      </c>
      <c r="H525" s="6" t="s">
        <v>99</v>
      </c>
      <c r="I525" s="8"/>
      <c r="J525" s="9">
        <v>1</v>
      </c>
      <c r="K525" s="9">
        <v>608</v>
      </c>
      <c r="L525" s="9">
        <v>2025</v>
      </c>
      <c r="M525" s="8" t="s">
        <v>3281</v>
      </c>
      <c r="N525" s="8" t="s">
        <v>42</v>
      </c>
      <c r="O525" s="8" t="s">
        <v>101</v>
      </c>
      <c r="P525" s="6" t="s">
        <v>44</v>
      </c>
      <c r="Q525" s="8" t="s">
        <v>45</v>
      </c>
      <c r="R525" s="10" t="s">
        <v>3282</v>
      </c>
      <c r="S525" s="11"/>
      <c r="T525" s="6"/>
      <c r="U525" s="24" t="str">
        <f>HYPERLINK("https://media.infra-m.ru/2160/2160653/cover/2160653.jpg", "Обложка")</f>
        <v>Обложка</v>
      </c>
      <c r="V525" s="24" t="str">
        <f>HYPERLINK("https://znanium.ru/catalog/product/2149147", "Ознакомиться")</f>
        <v>Ознакомиться</v>
      </c>
      <c r="W525" s="8" t="s">
        <v>3283</v>
      </c>
      <c r="X525" s="6"/>
      <c r="Y525" s="6"/>
      <c r="Z525" s="6"/>
      <c r="AA525" s="6" t="s">
        <v>369</v>
      </c>
      <c r="AB525" s="8"/>
    </row>
    <row r="526" spans="1:28" s="4" customFormat="1" ht="51.95" customHeight="1">
      <c r="A526" s="5">
        <v>0</v>
      </c>
      <c r="B526" s="6" t="s">
        <v>3284</v>
      </c>
      <c r="C526" s="7">
        <v>2256</v>
      </c>
      <c r="D526" s="8" t="s">
        <v>3285</v>
      </c>
      <c r="E526" s="8" t="s">
        <v>3286</v>
      </c>
      <c r="F526" s="8" t="s">
        <v>3287</v>
      </c>
      <c r="G526" s="6" t="s">
        <v>132</v>
      </c>
      <c r="H526" s="6" t="s">
        <v>39</v>
      </c>
      <c r="I526" s="8" t="s">
        <v>40</v>
      </c>
      <c r="J526" s="9">
        <v>1</v>
      </c>
      <c r="K526" s="9">
        <v>376</v>
      </c>
      <c r="L526" s="9">
        <v>2024</v>
      </c>
      <c r="M526" s="8" t="s">
        <v>3288</v>
      </c>
      <c r="N526" s="8" t="s">
        <v>42</v>
      </c>
      <c r="O526" s="8" t="s">
        <v>65</v>
      </c>
      <c r="P526" s="6" t="s">
        <v>44</v>
      </c>
      <c r="Q526" s="8" t="s">
        <v>45</v>
      </c>
      <c r="R526" s="10" t="s">
        <v>3289</v>
      </c>
      <c r="S526" s="11"/>
      <c r="T526" s="6"/>
      <c r="U526" s="24" t="str">
        <f>HYPERLINK("https://media.infra-m.ru/2141/2141098/cover/2141098.jpg", "Обложка")</f>
        <v>Обложка</v>
      </c>
      <c r="V526" s="24" t="str">
        <f>HYPERLINK("https://znanium.ru/catalog/product/2141098", "Ознакомиться")</f>
        <v>Ознакомиться</v>
      </c>
      <c r="W526" s="8" t="s">
        <v>868</v>
      </c>
      <c r="X526" s="6"/>
      <c r="Y526" s="6"/>
      <c r="Z526" s="6"/>
      <c r="AA526" s="6" t="s">
        <v>58</v>
      </c>
      <c r="AB526" s="8"/>
    </row>
    <row r="527" spans="1:28" s="4" customFormat="1" ht="51.95" customHeight="1">
      <c r="A527" s="5">
        <v>0</v>
      </c>
      <c r="B527" s="6" t="s">
        <v>3290</v>
      </c>
      <c r="C527" s="13">
        <v>904.8</v>
      </c>
      <c r="D527" s="8" t="s">
        <v>3291</v>
      </c>
      <c r="E527" s="8" t="s">
        <v>3292</v>
      </c>
      <c r="F527" s="8" t="s">
        <v>3293</v>
      </c>
      <c r="G527" s="6" t="s">
        <v>26</v>
      </c>
      <c r="H527" s="6" t="s">
        <v>99</v>
      </c>
      <c r="I527" s="8"/>
      <c r="J527" s="9">
        <v>1</v>
      </c>
      <c r="K527" s="9">
        <v>144</v>
      </c>
      <c r="L527" s="9">
        <v>2025</v>
      </c>
      <c r="M527" s="8" t="s">
        <v>3294</v>
      </c>
      <c r="N527" s="8" t="s">
        <v>42</v>
      </c>
      <c r="O527" s="8" t="s">
        <v>101</v>
      </c>
      <c r="P527" s="6" t="s">
        <v>44</v>
      </c>
      <c r="Q527" s="8" t="s">
        <v>1152</v>
      </c>
      <c r="R527" s="10" t="s">
        <v>2924</v>
      </c>
      <c r="S527" s="11"/>
      <c r="T527" s="6"/>
      <c r="U527" s="24" t="str">
        <f>HYPERLINK("https://media.infra-m.ru/2192/2192443/cover/2192443.jpg", "Обложка")</f>
        <v>Обложка</v>
      </c>
      <c r="V527" s="24" t="str">
        <f>HYPERLINK("https://znanium.ru/catalog/product/1010072", "Ознакомиться")</f>
        <v>Ознакомиться</v>
      </c>
      <c r="W527" s="8" t="s">
        <v>418</v>
      </c>
      <c r="X527" s="6"/>
      <c r="Y527" s="6"/>
      <c r="Z527" s="6"/>
      <c r="AA527" s="6" t="s">
        <v>377</v>
      </c>
      <c r="AB527" s="8"/>
    </row>
    <row r="528" spans="1:28" s="4" customFormat="1" ht="42" customHeight="1">
      <c r="A528" s="5">
        <v>0</v>
      </c>
      <c r="B528" s="6" t="s">
        <v>3295</v>
      </c>
      <c r="C528" s="13">
        <v>713.9</v>
      </c>
      <c r="D528" s="8" t="s">
        <v>3296</v>
      </c>
      <c r="E528" s="8" t="s">
        <v>3297</v>
      </c>
      <c r="F528" s="8" t="s">
        <v>3298</v>
      </c>
      <c r="G528" s="6" t="s">
        <v>38</v>
      </c>
      <c r="H528" s="6" t="s">
        <v>39</v>
      </c>
      <c r="I528" s="8" t="s">
        <v>3299</v>
      </c>
      <c r="J528" s="9">
        <v>1</v>
      </c>
      <c r="K528" s="9">
        <v>166</v>
      </c>
      <c r="L528" s="9">
        <v>2021</v>
      </c>
      <c r="M528" s="8" t="s">
        <v>3300</v>
      </c>
      <c r="N528" s="8" t="s">
        <v>42</v>
      </c>
      <c r="O528" s="8" t="s">
        <v>101</v>
      </c>
      <c r="P528" s="6" t="s">
        <v>2150</v>
      </c>
      <c r="Q528" s="8" t="s">
        <v>1058</v>
      </c>
      <c r="R528" s="10" t="s">
        <v>2137</v>
      </c>
      <c r="S528" s="11"/>
      <c r="T528" s="6" t="s">
        <v>1080</v>
      </c>
      <c r="U528" s="24" t="str">
        <f>HYPERLINK("https://media.infra-m.ru/1215/1215827/cover/1215827.jpg", "Обложка")</f>
        <v>Обложка</v>
      </c>
      <c r="V528" s="24" t="str">
        <f>HYPERLINK("https://znanium.ru/catalog/product/2098992", "Ознакомиться")</f>
        <v>Ознакомиться</v>
      </c>
      <c r="W528" s="8" t="s">
        <v>3301</v>
      </c>
      <c r="X528" s="6"/>
      <c r="Y528" s="6"/>
      <c r="Z528" s="6"/>
      <c r="AA528" s="6" t="s">
        <v>369</v>
      </c>
      <c r="AB528" s="8"/>
    </row>
    <row r="529" spans="1:28" s="4" customFormat="1" ht="42" customHeight="1">
      <c r="A529" s="5">
        <v>0</v>
      </c>
      <c r="B529" s="6" t="s">
        <v>3302</v>
      </c>
      <c r="C529" s="7">
        <v>1224</v>
      </c>
      <c r="D529" s="8" t="s">
        <v>3303</v>
      </c>
      <c r="E529" s="8" t="s">
        <v>3304</v>
      </c>
      <c r="F529" s="8" t="s">
        <v>3305</v>
      </c>
      <c r="G529" s="6" t="s">
        <v>38</v>
      </c>
      <c r="H529" s="6" t="s">
        <v>39</v>
      </c>
      <c r="I529" s="8" t="s">
        <v>40</v>
      </c>
      <c r="J529" s="9">
        <v>1</v>
      </c>
      <c r="K529" s="9">
        <v>274</v>
      </c>
      <c r="L529" s="9">
        <v>2020</v>
      </c>
      <c r="M529" s="8" t="s">
        <v>3306</v>
      </c>
      <c r="N529" s="8" t="s">
        <v>42</v>
      </c>
      <c r="O529" s="8" t="s">
        <v>101</v>
      </c>
      <c r="P529" s="6" t="s">
        <v>44</v>
      </c>
      <c r="Q529" s="8" t="s">
        <v>45</v>
      </c>
      <c r="R529" s="10" t="s">
        <v>564</v>
      </c>
      <c r="S529" s="11"/>
      <c r="T529" s="6"/>
      <c r="U529" s="24" t="str">
        <f>HYPERLINK("https://media.infra-m.ru/1078/1078337/cover/1078337.jpg", "Обложка")</f>
        <v>Обложка</v>
      </c>
      <c r="V529" s="24" t="str">
        <f>HYPERLINK("https://znanium.ru/catalog/product/1078337", "Ознакомиться")</f>
        <v>Ознакомиться</v>
      </c>
      <c r="W529" s="8" t="s">
        <v>846</v>
      </c>
      <c r="X529" s="6"/>
      <c r="Y529" s="6"/>
      <c r="Z529" s="6"/>
      <c r="AA529" s="6" t="s">
        <v>290</v>
      </c>
      <c r="AB529" s="8"/>
    </row>
    <row r="530" spans="1:28" s="4" customFormat="1" ht="51.95" customHeight="1">
      <c r="A530" s="5">
        <v>0</v>
      </c>
      <c r="B530" s="6" t="s">
        <v>3307</v>
      </c>
      <c r="C530" s="7">
        <v>1404</v>
      </c>
      <c r="D530" s="8" t="s">
        <v>3308</v>
      </c>
      <c r="E530" s="8" t="s">
        <v>3309</v>
      </c>
      <c r="F530" s="8" t="s">
        <v>3310</v>
      </c>
      <c r="G530" s="6" t="s">
        <v>38</v>
      </c>
      <c r="H530" s="6" t="s">
        <v>39</v>
      </c>
      <c r="I530" s="8" t="s">
        <v>40</v>
      </c>
      <c r="J530" s="9">
        <v>1</v>
      </c>
      <c r="K530" s="9">
        <v>248</v>
      </c>
      <c r="L530" s="9">
        <v>2024</v>
      </c>
      <c r="M530" s="8" t="s">
        <v>3311</v>
      </c>
      <c r="N530" s="8" t="s">
        <v>42</v>
      </c>
      <c r="O530" s="8" t="s">
        <v>189</v>
      </c>
      <c r="P530" s="6" t="s">
        <v>44</v>
      </c>
      <c r="Q530" s="8" t="s">
        <v>45</v>
      </c>
      <c r="R530" s="10" t="s">
        <v>3312</v>
      </c>
      <c r="S530" s="11"/>
      <c r="T530" s="6"/>
      <c r="U530" s="24" t="str">
        <f>HYPERLINK("https://media.infra-m.ru/2150/2150304/cover/2150304.jpg", "Обложка")</f>
        <v>Обложка</v>
      </c>
      <c r="V530" s="24" t="str">
        <f>HYPERLINK("https://znanium.ru/catalog/product/2150304", "Ознакомиться")</f>
        <v>Ознакомиться</v>
      </c>
      <c r="W530" s="8" t="s">
        <v>207</v>
      </c>
      <c r="X530" s="6"/>
      <c r="Y530" s="6"/>
      <c r="Z530" s="6"/>
      <c r="AA530" s="6" t="s">
        <v>119</v>
      </c>
      <c r="AB530" s="8"/>
    </row>
    <row r="531" spans="1:28" s="4" customFormat="1" ht="42" customHeight="1">
      <c r="A531" s="5">
        <v>0</v>
      </c>
      <c r="B531" s="6" t="s">
        <v>3313</v>
      </c>
      <c r="C531" s="7">
        <v>2296.8000000000002</v>
      </c>
      <c r="D531" s="8" t="s">
        <v>3314</v>
      </c>
      <c r="E531" s="8" t="s">
        <v>3315</v>
      </c>
      <c r="F531" s="8" t="s">
        <v>3316</v>
      </c>
      <c r="G531" s="6" t="s">
        <v>132</v>
      </c>
      <c r="H531" s="6" t="s">
        <v>99</v>
      </c>
      <c r="I531" s="8"/>
      <c r="J531" s="9">
        <v>1</v>
      </c>
      <c r="K531" s="9">
        <v>416</v>
      </c>
      <c r="L531" s="9">
        <v>2024</v>
      </c>
      <c r="M531" s="8" t="s">
        <v>3317</v>
      </c>
      <c r="N531" s="8" t="s">
        <v>42</v>
      </c>
      <c r="O531" s="8" t="s">
        <v>101</v>
      </c>
      <c r="P531" s="6" t="s">
        <v>44</v>
      </c>
      <c r="Q531" s="8" t="s">
        <v>45</v>
      </c>
      <c r="R531" s="10" t="s">
        <v>2490</v>
      </c>
      <c r="S531" s="11"/>
      <c r="T531" s="6"/>
      <c r="U531" s="24" t="str">
        <f>HYPERLINK("https://media.infra-m.ru/2107/2107278/cover/2107278.jpg", "Обложка")</f>
        <v>Обложка</v>
      </c>
      <c r="V531" s="24" t="str">
        <f>HYPERLINK("https://znanium.ru/catalog/product/1415914", "Ознакомиться")</f>
        <v>Ознакомиться</v>
      </c>
      <c r="W531" s="8" t="s">
        <v>803</v>
      </c>
      <c r="X531" s="6"/>
      <c r="Y531" s="6"/>
      <c r="Z531" s="6"/>
      <c r="AA531" s="6" t="s">
        <v>377</v>
      </c>
      <c r="AB531" s="8"/>
    </row>
    <row r="532" spans="1:28" s="4" customFormat="1" ht="42" customHeight="1">
      <c r="A532" s="5">
        <v>0</v>
      </c>
      <c r="B532" s="6" t="s">
        <v>3318</v>
      </c>
      <c r="C532" s="7">
        <v>2592</v>
      </c>
      <c r="D532" s="8" t="s">
        <v>3319</v>
      </c>
      <c r="E532" s="8" t="s">
        <v>3320</v>
      </c>
      <c r="F532" s="8" t="s">
        <v>3316</v>
      </c>
      <c r="G532" s="6" t="s">
        <v>132</v>
      </c>
      <c r="H532" s="6" t="s">
        <v>99</v>
      </c>
      <c r="I532" s="8"/>
      <c r="J532" s="9">
        <v>1</v>
      </c>
      <c r="K532" s="9">
        <v>416</v>
      </c>
      <c r="L532" s="9">
        <v>2026</v>
      </c>
      <c r="M532" s="8" t="s">
        <v>3321</v>
      </c>
      <c r="N532" s="8" t="s">
        <v>42</v>
      </c>
      <c r="O532" s="8" t="s">
        <v>101</v>
      </c>
      <c r="P532" s="6" t="s">
        <v>44</v>
      </c>
      <c r="Q532" s="8" t="s">
        <v>45</v>
      </c>
      <c r="R532" s="10" t="s">
        <v>2490</v>
      </c>
      <c r="S532" s="11"/>
      <c r="T532" s="6"/>
      <c r="U532" s="24" t="str">
        <f>HYPERLINK("https://media.infra-m.ru/2213/2213683/cover/2213683.jpg", "Обложка")</f>
        <v>Обложка</v>
      </c>
      <c r="V532" s="24" t="str">
        <f>HYPERLINK("https://znanium.ru/catalog/product/1859591", "Ознакомиться")</f>
        <v>Ознакомиться</v>
      </c>
      <c r="W532" s="8" t="s">
        <v>803</v>
      </c>
      <c r="X532" s="6"/>
      <c r="Y532" s="6"/>
      <c r="Z532" s="6"/>
      <c r="AA532" s="6" t="s">
        <v>68</v>
      </c>
      <c r="AB532" s="8"/>
    </row>
    <row r="533" spans="1:28" s="4" customFormat="1" ht="42" customHeight="1">
      <c r="A533" s="5">
        <v>0</v>
      </c>
      <c r="B533" s="6" t="s">
        <v>3322</v>
      </c>
      <c r="C533" s="7">
        <v>2596.8000000000002</v>
      </c>
      <c r="D533" s="8" t="s">
        <v>3323</v>
      </c>
      <c r="E533" s="8" t="s">
        <v>3324</v>
      </c>
      <c r="F533" s="8" t="s">
        <v>3316</v>
      </c>
      <c r="G533" s="6" t="s">
        <v>132</v>
      </c>
      <c r="H533" s="6" t="s">
        <v>99</v>
      </c>
      <c r="I533" s="8"/>
      <c r="J533" s="9">
        <v>1</v>
      </c>
      <c r="K533" s="9">
        <v>416</v>
      </c>
      <c r="L533" s="9">
        <v>2026</v>
      </c>
      <c r="M533" s="8" t="s">
        <v>3325</v>
      </c>
      <c r="N533" s="8" t="s">
        <v>42</v>
      </c>
      <c r="O533" s="8" t="s">
        <v>101</v>
      </c>
      <c r="P533" s="6" t="s">
        <v>44</v>
      </c>
      <c r="Q533" s="8" t="s">
        <v>45</v>
      </c>
      <c r="R533" s="10" t="s">
        <v>3326</v>
      </c>
      <c r="S533" s="11"/>
      <c r="T533" s="6"/>
      <c r="U533" s="24" t="str">
        <f>HYPERLINK("https://media.infra-m.ru/2221/2221239/cover/2221239.jpg", "Обложка")</f>
        <v>Обложка</v>
      </c>
      <c r="V533" s="24" t="str">
        <f>HYPERLINK("https://znanium.ru/catalog/product/1856007", "Ознакомиться")</f>
        <v>Ознакомиться</v>
      </c>
      <c r="W533" s="8" t="s">
        <v>803</v>
      </c>
      <c r="X533" s="6"/>
      <c r="Y533" s="6"/>
      <c r="Z533" s="6"/>
      <c r="AA533" s="6" t="s">
        <v>339</v>
      </c>
      <c r="AB533" s="8"/>
    </row>
    <row r="534" spans="1:28" s="4" customFormat="1" ht="42" customHeight="1">
      <c r="A534" s="5">
        <v>0</v>
      </c>
      <c r="B534" s="6" t="s">
        <v>3327</v>
      </c>
      <c r="C534" s="7">
        <v>2392.8000000000002</v>
      </c>
      <c r="D534" s="8" t="s">
        <v>3328</v>
      </c>
      <c r="E534" s="8" t="s">
        <v>3329</v>
      </c>
      <c r="F534" s="8" t="s">
        <v>3316</v>
      </c>
      <c r="G534" s="6" t="s">
        <v>81</v>
      </c>
      <c r="H534" s="6" t="s">
        <v>99</v>
      </c>
      <c r="I534" s="8"/>
      <c r="J534" s="9">
        <v>1</v>
      </c>
      <c r="K534" s="9">
        <v>384</v>
      </c>
      <c r="L534" s="9">
        <v>2025</v>
      </c>
      <c r="M534" s="8" t="s">
        <v>3330</v>
      </c>
      <c r="N534" s="8" t="s">
        <v>42</v>
      </c>
      <c r="O534" s="8" t="s">
        <v>101</v>
      </c>
      <c r="P534" s="6" t="s">
        <v>44</v>
      </c>
      <c r="Q534" s="8" t="s">
        <v>45</v>
      </c>
      <c r="R534" s="10" t="s">
        <v>2946</v>
      </c>
      <c r="S534" s="11"/>
      <c r="T534" s="6"/>
      <c r="U534" s="24" t="str">
        <f>HYPERLINK("https://media.infra-m.ru/2192/2192581/cover/2192581.jpg", "Обложка")</f>
        <v>Обложка</v>
      </c>
      <c r="V534" s="24" t="str">
        <f>HYPERLINK("https://znanium.ru/catalog/product/1856009", "Ознакомиться")</f>
        <v>Ознакомиться</v>
      </c>
      <c r="W534" s="8" t="s">
        <v>803</v>
      </c>
      <c r="X534" s="6"/>
      <c r="Y534" s="6"/>
      <c r="Z534" s="6"/>
      <c r="AA534" s="6" t="s">
        <v>369</v>
      </c>
      <c r="AB534" s="8"/>
    </row>
    <row r="535" spans="1:28" s="4" customFormat="1" ht="42" customHeight="1">
      <c r="A535" s="5">
        <v>0</v>
      </c>
      <c r="B535" s="6" t="s">
        <v>3331</v>
      </c>
      <c r="C535" s="7">
        <v>1696.8</v>
      </c>
      <c r="D535" s="8" t="s">
        <v>3332</v>
      </c>
      <c r="E535" s="8" t="s">
        <v>3333</v>
      </c>
      <c r="F535" s="8" t="s">
        <v>3334</v>
      </c>
      <c r="G535" s="6" t="s">
        <v>132</v>
      </c>
      <c r="H535" s="6" t="s">
        <v>39</v>
      </c>
      <c r="I535" s="8" t="s">
        <v>336</v>
      </c>
      <c r="J535" s="9">
        <v>1</v>
      </c>
      <c r="K535" s="9">
        <v>272</v>
      </c>
      <c r="L535" s="9">
        <v>2025</v>
      </c>
      <c r="M535" s="8" t="s">
        <v>3335</v>
      </c>
      <c r="N535" s="8" t="s">
        <v>42</v>
      </c>
      <c r="O535" s="8" t="s">
        <v>101</v>
      </c>
      <c r="P535" s="6" t="s">
        <v>44</v>
      </c>
      <c r="Q535" s="8" t="s">
        <v>45</v>
      </c>
      <c r="R535" s="10" t="s">
        <v>3336</v>
      </c>
      <c r="S535" s="11"/>
      <c r="T535" s="6"/>
      <c r="U535" s="24" t="str">
        <f>HYPERLINK("https://media.infra-m.ru/2200/2200111/cover/2200111.jpg", "Обложка")</f>
        <v>Обложка</v>
      </c>
      <c r="V535" s="24" t="str">
        <f>HYPERLINK("https://znanium.ru/catalog/product/2084716", "Ознакомиться")</f>
        <v>Ознакомиться</v>
      </c>
      <c r="W535" s="8" t="s">
        <v>103</v>
      </c>
      <c r="X535" s="6"/>
      <c r="Y535" s="6"/>
      <c r="Z535" s="6"/>
      <c r="AA535" s="6" t="s">
        <v>377</v>
      </c>
      <c r="AB535" s="8"/>
    </row>
    <row r="536" spans="1:28" s="4" customFormat="1" ht="42" customHeight="1">
      <c r="A536" s="5">
        <v>0</v>
      </c>
      <c r="B536" s="6" t="s">
        <v>3337</v>
      </c>
      <c r="C536" s="7">
        <v>1904.4</v>
      </c>
      <c r="D536" s="8" t="s">
        <v>3338</v>
      </c>
      <c r="E536" s="8" t="s">
        <v>3339</v>
      </c>
      <c r="F536" s="8" t="s">
        <v>3340</v>
      </c>
      <c r="G536" s="6" t="s">
        <v>81</v>
      </c>
      <c r="H536" s="6" t="s">
        <v>39</v>
      </c>
      <c r="I536" s="8" t="s">
        <v>40</v>
      </c>
      <c r="J536" s="9">
        <v>1</v>
      </c>
      <c r="K536" s="9">
        <v>222</v>
      </c>
      <c r="L536" s="9">
        <v>2026</v>
      </c>
      <c r="M536" s="8" t="s">
        <v>3341</v>
      </c>
      <c r="N536" s="8" t="s">
        <v>42</v>
      </c>
      <c r="O536" s="8" t="s">
        <v>101</v>
      </c>
      <c r="P536" s="6" t="s">
        <v>44</v>
      </c>
      <c r="Q536" s="8" t="s">
        <v>287</v>
      </c>
      <c r="R536" s="10" t="s">
        <v>3342</v>
      </c>
      <c r="S536" s="11"/>
      <c r="T536" s="6"/>
      <c r="U536" s="24" t="str">
        <f>HYPERLINK("https://media.infra-m.ru/2226/2226495/cover/2226495.jpg", "Обложка")</f>
        <v>Обложка</v>
      </c>
      <c r="V536" s="24" t="str">
        <f>HYPERLINK("https://znanium.ru/catalog/product/2187001", "Ознакомиться")</f>
        <v>Ознакомиться</v>
      </c>
      <c r="W536" s="8" t="s">
        <v>1010</v>
      </c>
      <c r="X536" s="6"/>
      <c r="Y536" s="6"/>
      <c r="Z536" s="6"/>
      <c r="AA536" s="6" t="s">
        <v>159</v>
      </c>
      <c r="AB536" s="8"/>
    </row>
    <row r="537" spans="1:28" s="4" customFormat="1" ht="42" customHeight="1">
      <c r="A537" s="5">
        <v>0</v>
      </c>
      <c r="B537" s="6" t="s">
        <v>3343</v>
      </c>
      <c r="C537" s="7">
        <v>1516.8</v>
      </c>
      <c r="D537" s="8" t="s">
        <v>3344</v>
      </c>
      <c r="E537" s="8" t="s">
        <v>3345</v>
      </c>
      <c r="F537" s="8" t="s">
        <v>3346</v>
      </c>
      <c r="G537" s="6" t="s">
        <v>38</v>
      </c>
      <c r="H537" s="6" t="s">
        <v>39</v>
      </c>
      <c r="I537" s="8" t="s">
        <v>40</v>
      </c>
      <c r="J537" s="9">
        <v>1</v>
      </c>
      <c r="K537" s="9">
        <v>242</v>
      </c>
      <c r="L537" s="9">
        <v>2025</v>
      </c>
      <c r="M537" s="8" t="s">
        <v>3347</v>
      </c>
      <c r="N537" s="8" t="s">
        <v>284</v>
      </c>
      <c r="O537" s="8" t="s">
        <v>482</v>
      </c>
      <c r="P537" s="6" t="s">
        <v>44</v>
      </c>
      <c r="Q537" s="8" t="s">
        <v>45</v>
      </c>
      <c r="R537" s="10" t="s">
        <v>3348</v>
      </c>
      <c r="S537" s="11"/>
      <c r="T537" s="6"/>
      <c r="U537" s="24" t="str">
        <f>HYPERLINK("https://media.infra-m.ru/2199/2199633/cover/2199633.jpg", "Обложка")</f>
        <v>Обложка</v>
      </c>
      <c r="V537" s="24" t="str">
        <f>HYPERLINK("https://znanium.ru/catalog/product/2140703", "Ознакомиться")</f>
        <v>Ознакомиться</v>
      </c>
      <c r="W537" s="8" t="s">
        <v>1882</v>
      </c>
      <c r="X537" s="6"/>
      <c r="Y537" s="6"/>
      <c r="Z537" s="6"/>
      <c r="AA537" s="6" t="s">
        <v>339</v>
      </c>
      <c r="AB537" s="8"/>
    </row>
    <row r="538" spans="1:28" s="4" customFormat="1" ht="42" customHeight="1">
      <c r="A538" s="5">
        <v>0</v>
      </c>
      <c r="B538" s="6" t="s">
        <v>3349</v>
      </c>
      <c r="C538" s="7">
        <v>1332</v>
      </c>
      <c r="D538" s="8" t="s">
        <v>3350</v>
      </c>
      <c r="E538" s="8" t="s">
        <v>3351</v>
      </c>
      <c r="F538" s="8" t="s">
        <v>195</v>
      </c>
      <c r="G538" s="6" t="s">
        <v>38</v>
      </c>
      <c r="H538" s="6" t="s">
        <v>39</v>
      </c>
      <c r="I538" s="8" t="s">
        <v>40</v>
      </c>
      <c r="J538" s="9">
        <v>1</v>
      </c>
      <c r="K538" s="9">
        <v>240</v>
      </c>
      <c r="L538" s="9">
        <v>2024</v>
      </c>
      <c r="M538" s="8" t="s">
        <v>3352</v>
      </c>
      <c r="N538" s="8" t="s">
        <v>54</v>
      </c>
      <c r="O538" s="8" t="s">
        <v>91</v>
      </c>
      <c r="P538" s="6" t="s">
        <v>44</v>
      </c>
      <c r="Q538" s="8" t="s">
        <v>45</v>
      </c>
      <c r="R538" s="10" t="s">
        <v>3174</v>
      </c>
      <c r="S538" s="11"/>
      <c r="T538" s="6"/>
      <c r="U538" s="24" t="str">
        <f>HYPERLINK("https://media.infra-m.ru/2083/2083360/cover/2083360.jpg", "Обложка")</f>
        <v>Обложка</v>
      </c>
      <c r="V538" s="24" t="str">
        <f>HYPERLINK("https://znanium.ru/catalog/product/2083360", "Ознакомиться")</f>
        <v>Ознакомиться</v>
      </c>
      <c r="W538" s="8" t="s">
        <v>198</v>
      </c>
      <c r="X538" s="6"/>
      <c r="Y538" s="6"/>
      <c r="Z538" s="6"/>
      <c r="AA538" s="6" t="s">
        <v>111</v>
      </c>
      <c r="AB538" s="8"/>
    </row>
    <row r="539" spans="1:28" s="4" customFormat="1" ht="44.1" customHeight="1">
      <c r="A539" s="5">
        <v>0</v>
      </c>
      <c r="B539" s="6" t="s">
        <v>3353</v>
      </c>
      <c r="C539" s="7">
        <v>1248</v>
      </c>
      <c r="D539" s="8" t="s">
        <v>3354</v>
      </c>
      <c r="E539" s="8" t="s">
        <v>3355</v>
      </c>
      <c r="F539" s="8" t="s">
        <v>3356</v>
      </c>
      <c r="G539" s="6" t="s">
        <v>132</v>
      </c>
      <c r="H539" s="6" t="s">
        <v>39</v>
      </c>
      <c r="I539" s="8" t="s">
        <v>40</v>
      </c>
      <c r="J539" s="9">
        <v>1</v>
      </c>
      <c r="K539" s="9">
        <v>225</v>
      </c>
      <c r="L539" s="9">
        <v>2023</v>
      </c>
      <c r="M539" s="8" t="s">
        <v>3357</v>
      </c>
      <c r="N539" s="8" t="s">
        <v>42</v>
      </c>
      <c r="O539" s="8" t="s">
        <v>101</v>
      </c>
      <c r="P539" s="6" t="s">
        <v>44</v>
      </c>
      <c r="Q539" s="8" t="s">
        <v>45</v>
      </c>
      <c r="R539" s="10" t="s">
        <v>2700</v>
      </c>
      <c r="S539" s="11"/>
      <c r="T539" s="6"/>
      <c r="U539" s="24" t="str">
        <f>HYPERLINK("https://media.infra-m.ru/2021/2021346/cover/2021346.jpg", "Обложка")</f>
        <v>Обложка</v>
      </c>
      <c r="V539" s="24" t="str">
        <f>HYPERLINK("https://znanium.ru/catalog/product/2021346", "Ознакомиться")</f>
        <v>Ознакомиться</v>
      </c>
      <c r="W539" s="8" t="s">
        <v>1126</v>
      </c>
      <c r="X539" s="6"/>
      <c r="Y539" s="6"/>
      <c r="Z539" s="6"/>
      <c r="AA539" s="6" t="s">
        <v>119</v>
      </c>
      <c r="AB539" s="8"/>
    </row>
    <row r="540" spans="1:28" s="4" customFormat="1" ht="51.95" customHeight="1">
      <c r="A540" s="5">
        <v>0</v>
      </c>
      <c r="B540" s="6" t="s">
        <v>3358</v>
      </c>
      <c r="C540" s="13">
        <v>960</v>
      </c>
      <c r="D540" s="8" t="s">
        <v>3359</v>
      </c>
      <c r="E540" s="8" t="s">
        <v>3360</v>
      </c>
      <c r="F540" s="8" t="s">
        <v>3361</v>
      </c>
      <c r="G540" s="6" t="s">
        <v>38</v>
      </c>
      <c r="H540" s="6" t="s">
        <v>39</v>
      </c>
      <c r="I540" s="8" t="s">
        <v>40</v>
      </c>
      <c r="J540" s="9">
        <v>1</v>
      </c>
      <c r="K540" s="9">
        <v>141</v>
      </c>
      <c r="L540" s="9">
        <v>2025</v>
      </c>
      <c r="M540" s="8" t="s">
        <v>3362</v>
      </c>
      <c r="N540" s="8" t="s">
        <v>42</v>
      </c>
      <c r="O540" s="8" t="s">
        <v>101</v>
      </c>
      <c r="P540" s="6" t="s">
        <v>44</v>
      </c>
      <c r="Q540" s="8" t="s">
        <v>45</v>
      </c>
      <c r="R540" s="10" t="s">
        <v>3363</v>
      </c>
      <c r="S540" s="11"/>
      <c r="T540" s="6"/>
      <c r="U540" s="24" t="str">
        <f>HYPERLINK("https://media.infra-m.ru/2188/2188423/cover/2188423.jpg", "Обложка")</f>
        <v>Обложка</v>
      </c>
      <c r="V540" s="24" t="str">
        <f>HYPERLINK("https://znanium.ru/catalog/product/2188423", "Ознакомиться")</f>
        <v>Ознакомиться</v>
      </c>
      <c r="W540" s="8" t="s">
        <v>3364</v>
      </c>
      <c r="X540" s="6" t="s">
        <v>320</v>
      </c>
      <c r="Y540" s="6"/>
      <c r="Z540" s="6"/>
      <c r="AA540" s="6" t="s">
        <v>159</v>
      </c>
      <c r="AB540" s="8"/>
    </row>
    <row r="541" spans="1:28" s="4" customFormat="1" ht="44.1" customHeight="1">
      <c r="A541" s="5">
        <v>0</v>
      </c>
      <c r="B541" s="6" t="s">
        <v>3365</v>
      </c>
      <c r="C541" s="7">
        <v>2356.8000000000002</v>
      </c>
      <c r="D541" s="8" t="s">
        <v>3366</v>
      </c>
      <c r="E541" s="8" t="s">
        <v>3367</v>
      </c>
      <c r="F541" s="8" t="s">
        <v>3368</v>
      </c>
      <c r="G541" s="6" t="s">
        <v>132</v>
      </c>
      <c r="H541" s="6" t="s">
        <v>3369</v>
      </c>
      <c r="I541" s="8"/>
      <c r="J541" s="9">
        <v>1</v>
      </c>
      <c r="K541" s="9">
        <v>378</v>
      </c>
      <c r="L541" s="9">
        <v>2026</v>
      </c>
      <c r="M541" s="8" t="s">
        <v>3370</v>
      </c>
      <c r="N541" s="8" t="s">
        <v>54</v>
      </c>
      <c r="O541" s="8" t="s">
        <v>55</v>
      </c>
      <c r="P541" s="6" t="s">
        <v>44</v>
      </c>
      <c r="Q541" s="8" t="s">
        <v>45</v>
      </c>
      <c r="R541" s="10" t="s">
        <v>3371</v>
      </c>
      <c r="S541" s="11"/>
      <c r="T541" s="6"/>
      <c r="U541" s="24" t="str">
        <f>HYPERLINK("https://media.infra-m.ru/2212/2212450/cover/2212450.jpg", "Обложка")</f>
        <v>Обложка</v>
      </c>
      <c r="V541" s="24" t="str">
        <f>HYPERLINK("https://znanium.ru/catalog/product/2163195", "Ознакомиться")</f>
        <v>Ознакомиться</v>
      </c>
      <c r="W541" s="8" t="s">
        <v>846</v>
      </c>
      <c r="X541" s="6"/>
      <c r="Y541" s="6"/>
      <c r="Z541" s="6"/>
      <c r="AA541" s="6" t="s">
        <v>94</v>
      </c>
      <c r="AB541" s="8"/>
    </row>
    <row r="542" spans="1:28" s="4" customFormat="1" ht="51.95" customHeight="1">
      <c r="A542" s="5">
        <v>0</v>
      </c>
      <c r="B542" s="6" t="s">
        <v>3372</v>
      </c>
      <c r="C542" s="7">
        <v>1908</v>
      </c>
      <c r="D542" s="8" t="s">
        <v>3373</v>
      </c>
      <c r="E542" s="8" t="s">
        <v>3374</v>
      </c>
      <c r="F542" s="8" t="s">
        <v>3375</v>
      </c>
      <c r="G542" s="6" t="s">
        <v>38</v>
      </c>
      <c r="H542" s="6" t="s">
        <v>39</v>
      </c>
      <c r="I542" s="8" t="s">
        <v>40</v>
      </c>
      <c r="J542" s="9">
        <v>1</v>
      </c>
      <c r="K542" s="9">
        <v>358</v>
      </c>
      <c r="L542" s="9">
        <v>2023</v>
      </c>
      <c r="M542" s="8" t="s">
        <v>3376</v>
      </c>
      <c r="N542" s="8" t="s">
        <v>42</v>
      </c>
      <c r="O542" s="8" t="s">
        <v>1002</v>
      </c>
      <c r="P542" s="6" t="s">
        <v>44</v>
      </c>
      <c r="Q542" s="8" t="s">
        <v>45</v>
      </c>
      <c r="R542" s="10" t="s">
        <v>3377</v>
      </c>
      <c r="S542" s="11"/>
      <c r="T542" s="6"/>
      <c r="U542" s="24" t="str">
        <f>HYPERLINK("https://media.infra-m.ru/1868/1868918/cover/1868918.jpg", "Обложка")</f>
        <v>Обложка</v>
      </c>
      <c r="V542" s="24" t="str">
        <f>HYPERLINK("https://znanium.ru/catalog/product/1868918", "Ознакомиться")</f>
        <v>Ознакомиться</v>
      </c>
      <c r="W542" s="8" t="s">
        <v>3378</v>
      </c>
      <c r="X542" s="6"/>
      <c r="Y542" s="6"/>
      <c r="Z542" s="6"/>
      <c r="AA542" s="6" t="s">
        <v>119</v>
      </c>
      <c r="AB542" s="8"/>
    </row>
    <row r="543" spans="1:28" s="4" customFormat="1" ht="51.95" customHeight="1">
      <c r="A543" s="5">
        <v>0</v>
      </c>
      <c r="B543" s="6" t="s">
        <v>3379</v>
      </c>
      <c r="C543" s="7">
        <v>1008</v>
      </c>
      <c r="D543" s="8" t="s">
        <v>3380</v>
      </c>
      <c r="E543" s="8" t="s">
        <v>3381</v>
      </c>
      <c r="F543" s="8" t="s">
        <v>3382</v>
      </c>
      <c r="G543" s="6" t="s">
        <v>81</v>
      </c>
      <c r="H543" s="6" t="s">
        <v>39</v>
      </c>
      <c r="I543" s="8" t="s">
        <v>164</v>
      </c>
      <c r="J543" s="9">
        <v>1</v>
      </c>
      <c r="K543" s="9">
        <v>209</v>
      </c>
      <c r="L543" s="9">
        <v>2020</v>
      </c>
      <c r="M543" s="8" t="s">
        <v>3383</v>
      </c>
      <c r="N543" s="8" t="s">
        <v>42</v>
      </c>
      <c r="O543" s="8" t="s">
        <v>189</v>
      </c>
      <c r="P543" s="6" t="s">
        <v>44</v>
      </c>
      <c r="Q543" s="8" t="s">
        <v>45</v>
      </c>
      <c r="R543" s="10" t="s">
        <v>3384</v>
      </c>
      <c r="S543" s="11"/>
      <c r="T543" s="6"/>
      <c r="U543" s="24" t="str">
        <f>HYPERLINK("https://media.infra-m.ru/1083/1083064/cover/1083064.jpg", "Обложка")</f>
        <v>Обложка</v>
      </c>
      <c r="V543" s="24" t="str">
        <f>HYPERLINK("https://znanium.ru/catalog/product/1083064", "Ознакомиться")</f>
        <v>Ознакомиться</v>
      </c>
      <c r="W543" s="8" t="s">
        <v>516</v>
      </c>
      <c r="X543" s="6"/>
      <c r="Y543" s="6"/>
      <c r="Z543" s="6"/>
      <c r="AA543" s="6" t="s">
        <v>76</v>
      </c>
      <c r="AB543" s="8"/>
    </row>
    <row r="544" spans="1:28" s="4" customFormat="1" ht="51.95" customHeight="1">
      <c r="A544" s="5">
        <v>0</v>
      </c>
      <c r="B544" s="6" t="s">
        <v>3385</v>
      </c>
      <c r="C544" s="7">
        <v>1920</v>
      </c>
      <c r="D544" s="8" t="s">
        <v>3386</v>
      </c>
      <c r="E544" s="8" t="s">
        <v>3387</v>
      </c>
      <c r="F544" s="8" t="s">
        <v>3388</v>
      </c>
      <c r="G544" s="6" t="s">
        <v>132</v>
      </c>
      <c r="H544" s="6" t="s">
        <v>39</v>
      </c>
      <c r="I544" s="8" t="s">
        <v>40</v>
      </c>
      <c r="J544" s="9">
        <v>1</v>
      </c>
      <c r="K544" s="9">
        <v>302</v>
      </c>
      <c r="L544" s="9">
        <v>2025</v>
      </c>
      <c r="M544" s="8" t="s">
        <v>3389</v>
      </c>
      <c r="N544" s="8" t="s">
        <v>54</v>
      </c>
      <c r="O544" s="8" t="s">
        <v>55</v>
      </c>
      <c r="P544" s="6" t="s">
        <v>44</v>
      </c>
      <c r="Q544" s="8" t="s">
        <v>45</v>
      </c>
      <c r="R544" s="10" t="s">
        <v>3390</v>
      </c>
      <c r="S544" s="11"/>
      <c r="T544" s="6"/>
      <c r="U544" s="24" t="str">
        <f>HYPERLINK("https://media.infra-m.ru/2158/2158217/cover/2158217.jpg", "Обложка")</f>
        <v>Обложка</v>
      </c>
      <c r="V544" s="24" t="str">
        <f>HYPERLINK("https://znanium.ru/catalog/product/2158217", "Ознакомиться")</f>
        <v>Ознакомиться</v>
      </c>
      <c r="W544" s="8" t="s">
        <v>3391</v>
      </c>
      <c r="X544" s="6" t="s">
        <v>306</v>
      </c>
      <c r="Y544" s="6"/>
      <c r="Z544" s="6"/>
      <c r="AA544" s="6" t="s">
        <v>159</v>
      </c>
      <c r="AB544" s="8" t="s">
        <v>3392</v>
      </c>
    </row>
    <row r="545" spans="1:28" s="4" customFormat="1" ht="42" customHeight="1">
      <c r="A545" s="5">
        <v>0</v>
      </c>
      <c r="B545" s="6" t="s">
        <v>3393</v>
      </c>
      <c r="C545" s="7">
        <v>3599.9</v>
      </c>
      <c r="D545" s="8" t="s">
        <v>3394</v>
      </c>
      <c r="E545" s="8" t="s">
        <v>3395</v>
      </c>
      <c r="F545" s="8" t="s">
        <v>3396</v>
      </c>
      <c r="G545" s="6" t="s">
        <v>132</v>
      </c>
      <c r="H545" s="6" t="s">
        <v>3397</v>
      </c>
      <c r="I545" s="8"/>
      <c r="J545" s="9">
        <v>3</v>
      </c>
      <c r="K545" s="9">
        <v>912</v>
      </c>
      <c r="L545" s="9">
        <v>2010</v>
      </c>
      <c r="M545" s="8" t="s">
        <v>3398</v>
      </c>
      <c r="N545" s="8" t="s">
        <v>738</v>
      </c>
      <c r="O545" s="8" t="s">
        <v>3399</v>
      </c>
      <c r="P545" s="6" t="s">
        <v>3397</v>
      </c>
      <c r="Q545" s="8" t="s">
        <v>45</v>
      </c>
      <c r="R545" s="10"/>
      <c r="S545" s="11"/>
      <c r="T545" s="6"/>
      <c r="U545" s="24" t="str">
        <f>HYPERLINK("https://media.infra-m.ru/0230/0230405/cover/230405.jpg", "Обложка")</f>
        <v>Обложка</v>
      </c>
      <c r="V545" s="12"/>
      <c r="W545" s="8" t="s">
        <v>3400</v>
      </c>
      <c r="X545" s="6"/>
      <c r="Y545" s="6"/>
      <c r="Z545" s="6"/>
      <c r="AA545" s="6" t="s">
        <v>566</v>
      </c>
      <c r="AB545" s="8"/>
    </row>
    <row r="546" spans="1:28" s="4" customFormat="1" ht="42" customHeight="1">
      <c r="A546" s="5">
        <v>0</v>
      </c>
      <c r="B546" s="6" t="s">
        <v>3401</v>
      </c>
      <c r="C546" s="7">
        <v>1140</v>
      </c>
      <c r="D546" s="8" t="s">
        <v>3402</v>
      </c>
      <c r="E546" s="8" t="s">
        <v>3403</v>
      </c>
      <c r="F546" s="8" t="s">
        <v>3404</v>
      </c>
      <c r="G546" s="6" t="s">
        <v>38</v>
      </c>
      <c r="H546" s="6" t="s">
        <v>39</v>
      </c>
      <c r="I546" s="8" t="s">
        <v>40</v>
      </c>
      <c r="J546" s="9">
        <v>1</v>
      </c>
      <c r="K546" s="9">
        <v>174</v>
      </c>
      <c r="L546" s="9">
        <v>2026</v>
      </c>
      <c r="M546" s="8" t="s">
        <v>3405</v>
      </c>
      <c r="N546" s="8" t="s">
        <v>229</v>
      </c>
      <c r="O546" s="8" t="s">
        <v>230</v>
      </c>
      <c r="P546" s="6" t="s">
        <v>44</v>
      </c>
      <c r="Q546" s="8" t="s">
        <v>45</v>
      </c>
      <c r="R546" s="10" t="s">
        <v>231</v>
      </c>
      <c r="S546" s="11"/>
      <c r="T546" s="6"/>
      <c r="U546" s="24" t="str">
        <f>HYPERLINK("https://media.infra-m.ru/2215/2215339/cover/2215339.jpg", "Обложка")</f>
        <v>Обложка</v>
      </c>
      <c r="V546" s="24" t="str">
        <f>HYPERLINK("https://znanium.ru/catalog/product/2215339", "Ознакомиться")</f>
        <v>Ознакомиться</v>
      </c>
      <c r="W546" s="8" t="s">
        <v>191</v>
      </c>
      <c r="X546" s="6"/>
      <c r="Y546" s="6"/>
      <c r="Z546" s="6"/>
      <c r="AA546" s="6" t="s">
        <v>241</v>
      </c>
      <c r="AB546" s="8"/>
    </row>
    <row r="547" spans="1:28" s="4" customFormat="1" ht="42" customHeight="1">
      <c r="A547" s="5">
        <v>0</v>
      </c>
      <c r="B547" s="6" t="s">
        <v>3406</v>
      </c>
      <c r="C547" s="7">
        <v>1224</v>
      </c>
      <c r="D547" s="8" t="s">
        <v>3407</v>
      </c>
      <c r="E547" s="8" t="s">
        <v>3408</v>
      </c>
      <c r="F547" s="8" t="s">
        <v>3409</v>
      </c>
      <c r="G547" s="6" t="s">
        <v>132</v>
      </c>
      <c r="H547" s="6" t="s">
        <v>39</v>
      </c>
      <c r="I547" s="8" t="s">
        <v>40</v>
      </c>
      <c r="J547" s="9">
        <v>1</v>
      </c>
      <c r="K547" s="9">
        <v>203</v>
      </c>
      <c r="L547" s="9">
        <v>2024</v>
      </c>
      <c r="M547" s="8" t="s">
        <v>3410</v>
      </c>
      <c r="N547" s="8" t="s">
        <v>229</v>
      </c>
      <c r="O547" s="8" t="s">
        <v>230</v>
      </c>
      <c r="P547" s="6" t="s">
        <v>44</v>
      </c>
      <c r="Q547" s="8" t="s">
        <v>45</v>
      </c>
      <c r="R547" s="10" t="s">
        <v>3411</v>
      </c>
      <c r="S547" s="11"/>
      <c r="T547" s="6"/>
      <c r="U547" s="24" t="str">
        <f>HYPERLINK("https://media.infra-m.ru/2079/2079775/cover/2079775.jpg", "Обложка")</f>
        <v>Обложка</v>
      </c>
      <c r="V547" s="24" t="str">
        <f>HYPERLINK("https://znanium.ru/catalog/product/2079775", "Ознакомиться")</f>
        <v>Ознакомиться</v>
      </c>
      <c r="W547" s="8" t="s">
        <v>3412</v>
      </c>
      <c r="X547" s="6"/>
      <c r="Y547" s="6"/>
      <c r="Z547" s="6"/>
      <c r="AA547" s="6" t="s">
        <v>58</v>
      </c>
      <c r="AB547" s="8"/>
    </row>
    <row r="548" spans="1:28" s="4" customFormat="1" ht="44.1" customHeight="1">
      <c r="A548" s="5">
        <v>0</v>
      </c>
      <c r="B548" s="6" t="s">
        <v>3413</v>
      </c>
      <c r="C548" s="7">
        <v>1272</v>
      </c>
      <c r="D548" s="8" t="s">
        <v>3414</v>
      </c>
      <c r="E548" s="8" t="s">
        <v>3415</v>
      </c>
      <c r="F548" s="8" t="s">
        <v>1534</v>
      </c>
      <c r="G548" s="6" t="s">
        <v>81</v>
      </c>
      <c r="H548" s="6" t="s">
        <v>99</v>
      </c>
      <c r="I548" s="8"/>
      <c r="J548" s="9">
        <v>1</v>
      </c>
      <c r="K548" s="9">
        <v>192</v>
      </c>
      <c r="L548" s="9">
        <v>2026</v>
      </c>
      <c r="M548" s="8" t="s">
        <v>3416</v>
      </c>
      <c r="N548" s="8" t="s">
        <v>42</v>
      </c>
      <c r="O548" s="8" t="s">
        <v>65</v>
      </c>
      <c r="P548" s="6" t="s">
        <v>44</v>
      </c>
      <c r="Q548" s="8" t="s">
        <v>45</v>
      </c>
      <c r="R548" s="10" t="s">
        <v>3417</v>
      </c>
      <c r="S548" s="11"/>
      <c r="T548" s="6"/>
      <c r="U548" s="24" t="str">
        <f>HYPERLINK("https://media.infra-m.ru/2218/2218064/cover/2218064.jpg", "Обложка")</f>
        <v>Обложка</v>
      </c>
      <c r="V548" s="24" t="str">
        <f>HYPERLINK("https://znanium.ru/catalog/product/2218064", "Ознакомиться")</f>
        <v>Ознакомиться</v>
      </c>
      <c r="W548" s="8" t="s">
        <v>346</v>
      </c>
      <c r="X548" s="6"/>
      <c r="Y548" s="6"/>
      <c r="Z548" s="6"/>
      <c r="AA548" s="6" t="s">
        <v>369</v>
      </c>
      <c r="AB548" s="8"/>
    </row>
    <row r="549" spans="1:28" s="4" customFormat="1" ht="42" customHeight="1">
      <c r="A549" s="5">
        <v>0</v>
      </c>
      <c r="B549" s="6" t="s">
        <v>3418</v>
      </c>
      <c r="C549" s="7">
        <v>1320</v>
      </c>
      <c r="D549" s="8" t="s">
        <v>3419</v>
      </c>
      <c r="E549" s="8" t="s">
        <v>3420</v>
      </c>
      <c r="F549" s="8" t="s">
        <v>3421</v>
      </c>
      <c r="G549" s="6" t="s">
        <v>38</v>
      </c>
      <c r="H549" s="6" t="s">
        <v>39</v>
      </c>
      <c r="I549" s="8" t="s">
        <v>40</v>
      </c>
      <c r="J549" s="9">
        <v>1</v>
      </c>
      <c r="K549" s="9">
        <v>238</v>
      </c>
      <c r="L549" s="9">
        <v>2024</v>
      </c>
      <c r="M549" s="8" t="s">
        <v>3422</v>
      </c>
      <c r="N549" s="8" t="s">
        <v>42</v>
      </c>
      <c r="O549" s="8" t="s">
        <v>189</v>
      </c>
      <c r="P549" s="6" t="s">
        <v>44</v>
      </c>
      <c r="Q549" s="8" t="s">
        <v>45</v>
      </c>
      <c r="R549" s="10" t="s">
        <v>1290</v>
      </c>
      <c r="S549" s="11"/>
      <c r="T549" s="6" t="s">
        <v>1080</v>
      </c>
      <c r="U549" s="24" t="str">
        <f>HYPERLINK("https://media.infra-m.ru/2084/2084491/cover/2084491.jpg", "Обложка")</f>
        <v>Обложка</v>
      </c>
      <c r="V549" s="24" t="str">
        <f>HYPERLINK("https://znanium.ru/catalog/product/2084491", "Ознакомиться")</f>
        <v>Ознакомиться</v>
      </c>
      <c r="W549" s="8" t="s">
        <v>39</v>
      </c>
      <c r="X549" s="6"/>
      <c r="Y549" s="6"/>
      <c r="Z549" s="6"/>
      <c r="AA549" s="6" t="s">
        <v>369</v>
      </c>
      <c r="AB549" s="8"/>
    </row>
    <row r="550" spans="1:28" s="4" customFormat="1" ht="42" customHeight="1">
      <c r="A550" s="5">
        <v>0</v>
      </c>
      <c r="B550" s="6" t="s">
        <v>3423</v>
      </c>
      <c r="C550" s="13">
        <v>636</v>
      </c>
      <c r="D550" s="8" t="s">
        <v>3424</v>
      </c>
      <c r="E550" s="8" t="s">
        <v>3425</v>
      </c>
      <c r="F550" s="8" t="s">
        <v>3426</v>
      </c>
      <c r="G550" s="6" t="s">
        <v>38</v>
      </c>
      <c r="H550" s="6" t="s">
        <v>39</v>
      </c>
      <c r="I550" s="8" t="s">
        <v>40</v>
      </c>
      <c r="J550" s="9">
        <v>1</v>
      </c>
      <c r="K550" s="9">
        <v>118</v>
      </c>
      <c r="L550" s="9">
        <v>2022</v>
      </c>
      <c r="M550" s="8" t="s">
        <v>3427</v>
      </c>
      <c r="N550" s="8" t="s">
        <v>54</v>
      </c>
      <c r="O550" s="8" t="s">
        <v>91</v>
      </c>
      <c r="P550" s="6" t="s">
        <v>44</v>
      </c>
      <c r="Q550" s="8" t="s">
        <v>45</v>
      </c>
      <c r="R550" s="10" t="s">
        <v>3428</v>
      </c>
      <c r="S550" s="11"/>
      <c r="T550" s="6"/>
      <c r="U550" s="24" t="str">
        <f>HYPERLINK("https://media.infra-m.ru/1946/1946533/cover/1946533.jpg", "Обложка")</f>
        <v>Обложка</v>
      </c>
      <c r="V550" s="24" t="str">
        <f>HYPERLINK("https://znanium.ru/catalog/product/1946533", "Ознакомиться")</f>
        <v>Ознакомиться</v>
      </c>
      <c r="W550" s="8" t="s">
        <v>699</v>
      </c>
      <c r="X550" s="6"/>
      <c r="Y550" s="6"/>
      <c r="Z550" s="6"/>
      <c r="AA550" s="6" t="s">
        <v>290</v>
      </c>
      <c r="AB550" s="8"/>
    </row>
    <row r="551" spans="1:28" s="4" customFormat="1" ht="51.95" customHeight="1">
      <c r="A551" s="5">
        <v>0</v>
      </c>
      <c r="B551" s="6" t="s">
        <v>3429</v>
      </c>
      <c r="C551" s="7">
        <v>1068</v>
      </c>
      <c r="D551" s="8" t="s">
        <v>3430</v>
      </c>
      <c r="E551" s="8" t="s">
        <v>3431</v>
      </c>
      <c r="F551" s="8" t="s">
        <v>3432</v>
      </c>
      <c r="G551" s="6" t="s">
        <v>38</v>
      </c>
      <c r="H551" s="6" t="s">
        <v>39</v>
      </c>
      <c r="I551" s="8" t="s">
        <v>40</v>
      </c>
      <c r="J551" s="9">
        <v>1</v>
      </c>
      <c r="K551" s="9">
        <v>172</v>
      </c>
      <c r="L551" s="9">
        <v>2025</v>
      </c>
      <c r="M551" s="8" t="s">
        <v>3433</v>
      </c>
      <c r="N551" s="8" t="s">
        <v>42</v>
      </c>
      <c r="O551" s="8" t="s">
        <v>1002</v>
      </c>
      <c r="P551" s="6" t="s">
        <v>44</v>
      </c>
      <c r="Q551" s="8" t="s">
        <v>45</v>
      </c>
      <c r="R551" s="10" t="s">
        <v>3434</v>
      </c>
      <c r="S551" s="11"/>
      <c r="T551" s="6"/>
      <c r="U551" s="24" t="str">
        <f>HYPERLINK("https://media.infra-m.ru/2134/2134523/cover/2134523.jpg", "Обложка")</f>
        <v>Обложка</v>
      </c>
      <c r="V551" s="24" t="str">
        <f>HYPERLINK("https://znanium.ru/catalog/product/2134523", "Ознакомиться")</f>
        <v>Ознакомиться</v>
      </c>
      <c r="W551" s="8" t="s">
        <v>3435</v>
      </c>
      <c r="X551" s="6" t="s">
        <v>3436</v>
      </c>
      <c r="Y551" s="6"/>
      <c r="Z551" s="6"/>
      <c r="AA551" s="6" t="s">
        <v>159</v>
      </c>
      <c r="AB551" s="8"/>
    </row>
    <row r="552" spans="1:28" s="4" customFormat="1" ht="42" customHeight="1">
      <c r="A552" s="5">
        <v>0</v>
      </c>
      <c r="B552" s="6" t="s">
        <v>3437</v>
      </c>
      <c r="C552" s="7">
        <v>1072.8</v>
      </c>
      <c r="D552" s="8" t="s">
        <v>3438</v>
      </c>
      <c r="E552" s="8" t="s">
        <v>3439</v>
      </c>
      <c r="F552" s="8" t="s">
        <v>3440</v>
      </c>
      <c r="G552" s="6" t="s">
        <v>38</v>
      </c>
      <c r="H552" s="6" t="s">
        <v>39</v>
      </c>
      <c r="I552" s="8" t="s">
        <v>40</v>
      </c>
      <c r="J552" s="9">
        <v>1</v>
      </c>
      <c r="K552" s="9">
        <v>172</v>
      </c>
      <c r="L552" s="9">
        <v>2025</v>
      </c>
      <c r="M552" s="8" t="s">
        <v>3441</v>
      </c>
      <c r="N552" s="8" t="s">
        <v>54</v>
      </c>
      <c r="O552" s="8" t="s">
        <v>55</v>
      </c>
      <c r="P552" s="6" t="s">
        <v>44</v>
      </c>
      <c r="Q552" s="8" t="s">
        <v>45</v>
      </c>
      <c r="R552" s="10" t="s">
        <v>3442</v>
      </c>
      <c r="S552" s="11"/>
      <c r="T552" s="6"/>
      <c r="U552" s="24" t="str">
        <f>HYPERLINK("https://media.infra-m.ru/2209/2209154/cover/2209154.jpg", "Обложка")</f>
        <v>Обложка</v>
      </c>
      <c r="V552" s="24" t="str">
        <f>HYPERLINK("https://znanium.ru/catalog/product/2105790", "Ознакомиться")</f>
        <v>Ознакомиться</v>
      </c>
      <c r="W552" s="8" t="s">
        <v>149</v>
      </c>
      <c r="X552" s="6"/>
      <c r="Y552" s="6"/>
      <c r="Z552" s="6"/>
      <c r="AA552" s="6" t="s">
        <v>76</v>
      </c>
      <c r="AB552" s="8"/>
    </row>
    <row r="553" spans="1:28" s="4" customFormat="1" ht="42" customHeight="1">
      <c r="A553" s="5">
        <v>0</v>
      </c>
      <c r="B553" s="6" t="s">
        <v>3443</v>
      </c>
      <c r="C553" s="7">
        <v>2880</v>
      </c>
      <c r="D553" s="8" t="s">
        <v>3444</v>
      </c>
      <c r="E553" s="8" t="s">
        <v>3445</v>
      </c>
      <c r="F553" s="8" t="s">
        <v>3446</v>
      </c>
      <c r="G553" s="6" t="s">
        <v>132</v>
      </c>
      <c r="H553" s="6" t="s">
        <v>39</v>
      </c>
      <c r="I553" s="8" t="s">
        <v>40</v>
      </c>
      <c r="J553" s="9">
        <v>1</v>
      </c>
      <c r="K553" s="9">
        <v>475</v>
      </c>
      <c r="L553" s="9">
        <v>2025</v>
      </c>
      <c r="M553" s="8" t="s">
        <v>3447</v>
      </c>
      <c r="N553" s="8" t="s">
        <v>42</v>
      </c>
      <c r="O553" s="8" t="s">
        <v>101</v>
      </c>
      <c r="P553" s="6" t="s">
        <v>44</v>
      </c>
      <c r="Q553" s="8" t="s">
        <v>45</v>
      </c>
      <c r="R553" s="10" t="s">
        <v>3448</v>
      </c>
      <c r="S553" s="11"/>
      <c r="T553" s="6"/>
      <c r="U553" s="24" t="str">
        <f>HYPERLINK("https://media.infra-m.ru/2152/2152062/cover/2152062.jpg", "Обложка")</f>
        <v>Обложка</v>
      </c>
      <c r="V553" s="24" t="str">
        <f>HYPERLINK("https://znanium.ru/catalog/product/2152062", "Ознакомиться")</f>
        <v>Ознакомиться</v>
      </c>
      <c r="W553" s="8" t="s">
        <v>3449</v>
      </c>
      <c r="X553" s="6" t="s">
        <v>517</v>
      </c>
      <c r="Y553" s="6"/>
      <c r="Z553" s="6"/>
      <c r="AA553" s="6" t="s">
        <v>58</v>
      </c>
      <c r="AB553" s="8"/>
    </row>
    <row r="554" spans="1:28" s="4" customFormat="1" ht="44.1" customHeight="1">
      <c r="A554" s="5">
        <v>0</v>
      </c>
      <c r="B554" s="6" t="s">
        <v>3450</v>
      </c>
      <c r="C554" s="7">
        <v>1356</v>
      </c>
      <c r="D554" s="8" t="s">
        <v>3451</v>
      </c>
      <c r="E554" s="8" t="s">
        <v>3452</v>
      </c>
      <c r="F554" s="8" t="s">
        <v>3375</v>
      </c>
      <c r="G554" s="6" t="s">
        <v>38</v>
      </c>
      <c r="H554" s="6" t="s">
        <v>39</v>
      </c>
      <c r="I554" s="8" t="s">
        <v>40</v>
      </c>
      <c r="J554" s="9">
        <v>1</v>
      </c>
      <c r="K554" s="9">
        <v>296</v>
      </c>
      <c r="L554" s="9">
        <v>2021</v>
      </c>
      <c r="M554" s="8" t="s">
        <v>3453</v>
      </c>
      <c r="N554" s="8" t="s">
        <v>42</v>
      </c>
      <c r="O554" s="8" t="s">
        <v>1002</v>
      </c>
      <c r="P554" s="6" t="s">
        <v>44</v>
      </c>
      <c r="Q554" s="8" t="s">
        <v>45</v>
      </c>
      <c r="R554" s="10" t="s">
        <v>3454</v>
      </c>
      <c r="S554" s="11"/>
      <c r="T554" s="6"/>
      <c r="U554" s="24" t="str">
        <f>HYPERLINK("https://media.infra-m.ru/1213/1213790/cover/1213790.jpg", "Обложка")</f>
        <v>Обложка</v>
      </c>
      <c r="V554" s="24" t="str">
        <f>HYPERLINK("https://znanium.ru/catalog/product/1213790", "Ознакомиться")</f>
        <v>Ознакомиться</v>
      </c>
      <c r="W554" s="8" t="s">
        <v>3378</v>
      </c>
      <c r="X554" s="6"/>
      <c r="Y554" s="6"/>
      <c r="Z554" s="6"/>
      <c r="AA554" s="6" t="s">
        <v>199</v>
      </c>
      <c r="AB554" s="8" t="s">
        <v>3455</v>
      </c>
    </row>
    <row r="555" spans="1:28" s="4" customFormat="1" ht="42" customHeight="1">
      <c r="A555" s="5">
        <v>0</v>
      </c>
      <c r="B555" s="6" t="s">
        <v>3456</v>
      </c>
      <c r="C555" s="13">
        <v>700.8</v>
      </c>
      <c r="D555" s="8" t="s">
        <v>3457</v>
      </c>
      <c r="E555" s="8" t="s">
        <v>3458</v>
      </c>
      <c r="F555" s="8" t="s">
        <v>3459</v>
      </c>
      <c r="G555" s="6" t="s">
        <v>38</v>
      </c>
      <c r="H555" s="6" t="s">
        <v>99</v>
      </c>
      <c r="I555" s="8"/>
      <c r="J555" s="9">
        <v>1</v>
      </c>
      <c r="K555" s="9">
        <v>112</v>
      </c>
      <c r="L555" s="9">
        <v>2023</v>
      </c>
      <c r="M555" s="8" t="s">
        <v>3460</v>
      </c>
      <c r="N555" s="8" t="s">
        <v>42</v>
      </c>
      <c r="O555" s="8" t="s">
        <v>101</v>
      </c>
      <c r="P555" s="6" t="s">
        <v>44</v>
      </c>
      <c r="Q555" s="8" t="s">
        <v>45</v>
      </c>
      <c r="R555" s="10" t="s">
        <v>564</v>
      </c>
      <c r="S555" s="11"/>
      <c r="T555" s="6"/>
      <c r="U555" s="24" t="str">
        <f>HYPERLINK("https://media.infra-m.ru/2043/2043219/cover/2043219.jpg", "Обложка")</f>
        <v>Обложка</v>
      </c>
      <c r="V555" s="24" t="str">
        <f>HYPERLINK("https://znanium.ru/catalog/product/1850679", "Ознакомиться")</f>
        <v>Ознакомиться</v>
      </c>
      <c r="W555" s="8" t="s">
        <v>346</v>
      </c>
      <c r="X555" s="6"/>
      <c r="Y555" s="6"/>
      <c r="Z555" s="6"/>
      <c r="AA555" s="6" t="s">
        <v>290</v>
      </c>
      <c r="AB555" s="8"/>
    </row>
    <row r="556" spans="1:28" s="4" customFormat="1" ht="51.95" customHeight="1">
      <c r="A556" s="5">
        <v>0</v>
      </c>
      <c r="B556" s="6" t="s">
        <v>3461</v>
      </c>
      <c r="C556" s="7">
        <v>1176</v>
      </c>
      <c r="D556" s="8" t="s">
        <v>3462</v>
      </c>
      <c r="E556" s="8" t="s">
        <v>3463</v>
      </c>
      <c r="F556" s="8" t="s">
        <v>3464</v>
      </c>
      <c r="G556" s="6" t="s">
        <v>81</v>
      </c>
      <c r="H556" s="6" t="s">
        <v>39</v>
      </c>
      <c r="I556" s="8" t="s">
        <v>40</v>
      </c>
      <c r="J556" s="9">
        <v>1</v>
      </c>
      <c r="K556" s="9">
        <v>211</v>
      </c>
      <c r="L556" s="9">
        <v>2024</v>
      </c>
      <c r="M556" s="8" t="s">
        <v>3465</v>
      </c>
      <c r="N556" s="8" t="s">
        <v>42</v>
      </c>
      <c r="O556" s="8" t="s">
        <v>101</v>
      </c>
      <c r="P556" s="6" t="s">
        <v>44</v>
      </c>
      <c r="Q556" s="8" t="s">
        <v>45</v>
      </c>
      <c r="R556" s="10" t="s">
        <v>3466</v>
      </c>
      <c r="S556" s="11"/>
      <c r="T556" s="6"/>
      <c r="U556" s="24" t="str">
        <f>HYPERLINK("https://media.infra-m.ru/2131/2131534/cover/2131534.jpg", "Обложка")</f>
        <v>Обложка</v>
      </c>
      <c r="V556" s="24" t="str">
        <f>HYPERLINK("https://znanium.ru/catalog/product/2131534", "Ознакомиться")</f>
        <v>Ознакомиться</v>
      </c>
      <c r="W556" s="8" t="s">
        <v>810</v>
      </c>
      <c r="X556" s="6"/>
      <c r="Y556" s="6"/>
      <c r="Z556" s="6"/>
      <c r="AA556" s="6" t="s">
        <v>76</v>
      </c>
      <c r="AB556" s="8"/>
    </row>
    <row r="557" spans="1:28" s="4" customFormat="1" ht="42" customHeight="1">
      <c r="A557" s="5">
        <v>0</v>
      </c>
      <c r="B557" s="6" t="s">
        <v>3467</v>
      </c>
      <c r="C557" s="7">
        <v>1380</v>
      </c>
      <c r="D557" s="8" t="s">
        <v>3468</v>
      </c>
      <c r="E557" s="8" t="s">
        <v>3469</v>
      </c>
      <c r="F557" s="8" t="s">
        <v>3470</v>
      </c>
      <c r="G557" s="6" t="s">
        <v>81</v>
      </c>
      <c r="H557" s="6" t="s">
        <v>99</v>
      </c>
      <c r="I557" s="8"/>
      <c r="J557" s="9">
        <v>1</v>
      </c>
      <c r="K557" s="9">
        <v>256</v>
      </c>
      <c r="L557" s="9">
        <v>2016</v>
      </c>
      <c r="M557" s="8" t="s">
        <v>3471</v>
      </c>
      <c r="N557" s="8" t="s">
        <v>42</v>
      </c>
      <c r="O557" s="8" t="s">
        <v>101</v>
      </c>
      <c r="P557" s="6" t="s">
        <v>415</v>
      </c>
      <c r="Q557" s="8" t="s">
        <v>416</v>
      </c>
      <c r="R557" s="10" t="s">
        <v>1765</v>
      </c>
      <c r="S557" s="11"/>
      <c r="T557" s="6"/>
      <c r="U557" s="24" t="str">
        <f>HYPERLINK("https://media.infra-m.ru/0978/0978935/cover/978935.jpg", "Обложка")</f>
        <v>Обложка</v>
      </c>
      <c r="V557" s="24" t="str">
        <f>HYPERLINK("https://znanium.ru/catalog/product/526413", "Ознакомиться")</f>
        <v>Ознакомиться</v>
      </c>
      <c r="W557" s="8" t="s">
        <v>3472</v>
      </c>
      <c r="X557" s="6"/>
      <c r="Y557" s="6"/>
      <c r="Z557" s="6"/>
      <c r="AA557" s="6" t="s">
        <v>339</v>
      </c>
      <c r="AB557" s="8"/>
    </row>
    <row r="558" spans="1:28" s="4" customFormat="1" ht="51.95" customHeight="1">
      <c r="A558" s="5">
        <v>0</v>
      </c>
      <c r="B558" s="6" t="s">
        <v>3473</v>
      </c>
      <c r="C558" s="7">
        <v>1499.9</v>
      </c>
      <c r="D558" s="8" t="s">
        <v>3474</v>
      </c>
      <c r="E558" s="8" t="s">
        <v>3475</v>
      </c>
      <c r="F558" s="8" t="s">
        <v>413</v>
      </c>
      <c r="G558" s="6" t="s">
        <v>132</v>
      </c>
      <c r="H558" s="6" t="s">
        <v>99</v>
      </c>
      <c r="I558" s="8"/>
      <c r="J558" s="9">
        <v>1</v>
      </c>
      <c r="K558" s="9">
        <v>592</v>
      </c>
      <c r="L558" s="9">
        <v>2019</v>
      </c>
      <c r="M558" s="8" t="s">
        <v>3476</v>
      </c>
      <c r="N558" s="8" t="s">
        <v>42</v>
      </c>
      <c r="O558" s="8" t="s">
        <v>101</v>
      </c>
      <c r="P558" s="6" t="s">
        <v>580</v>
      </c>
      <c r="Q558" s="8" t="s">
        <v>45</v>
      </c>
      <c r="R558" s="10" t="s">
        <v>2654</v>
      </c>
      <c r="S558" s="11"/>
      <c r="T558" s="6" t="s">
        <v>1080</v>
      </c>
      <c r="U558" s="24" t="str">
        <f>HYPERLINK("https://media.infra-m.ru/0991/0991881/cover/991881.jpg", "Обложка")</f>
        <v>Обложка</v>
      </c>
      <c r="V558" s="24" t="str">
        <f>HYPERLINK("https://znanium.ru/catalog/product/991881", "Ознакомиться")</f>
        <v>Ознакомиться</v>
      </c>
      <c r="W558" s="8" t="s">
        <v>418</v>
      </c>
      <c r="X558" s="6"/>
      <c r="Y558" s="6"/>
      <c r="Z558" s="6"/>
      <c r="AA558" s="6" t="s">
        <v>339</v>
      </c>
      <c r="AB558" s="8"/>
    </row>
    <row r="559" spans="1:28" s="4" customFormat="1" ht="51.95" customHeight="1">
      <c r="A559" s="5">
        <v>0</v>
      </c>
      <c r="B559" s="6" t="s">
        <v>3477</v>
      </c>
      <c r="C559" s="7">
        <v>2633.9</v>
      </c>
      <c r="D559" s="8" t="s">
        <v>3478</v>
      </c>
      <c r="E559" s="8" t="s">
        <v>3475</v>
      </c>
      <c r="F559" s="8" t="s">
        <v>3479</v>
      </c>
      <c r="G559" s="6" t="s">
        <v>132</v>
      </c>
      <c r="H559" s="6" t="s">
        <v>99</v>
      </c>
      <c r="I559" s="8"/>
      <c r="J559" s="9">
        <v>1</v>
      </c>
      <c r="K559" s="9">
        <v>688</v>
      </c>
      <c r="L559" s="9">
        <v>2019</v>
      </c>
      <c r="M559" s="8" t="s">
        <v>3480</v>
      </c>
      <c r="N559" s="8" t="s">
        <v>42</v>
      </c>
      <c r="O559" s="8" t="s">
        <v>101</v>
      </c>
      <c r="P559" s="6" t="s">
        <v>44</v>
      </c>
      <c r="Q559" s="8" t="s">
        <v>1152</v>
      </c>
      <c r="R559" s="10" t="s">
        <v>3481</v>
      </c>
      <c r="S559" s="11"/>
      <c r="T559" s="6"/>
      <c r="U559" s="24" t="str">
        <f>HYPERLINK("https://media.infra-m.ru/1006/1006922/cover/1006922.jpg", "Обложка")</f>
        <v>Обложка</v>
      </c>
      <c r="V559" s="24" t="str">
        <f>HYPERLINK("https://znanium.ru/catalog/product/1006922", "Ознакомиться")</f>
        <v>Ознакомиться</v>
      </c>
      <c r="W559" s="8" t="s">
        <v>305</v>
      </c>
      <c r="X559" s="6"/>
      <c r="Y559" s="6"/>
      <c r="Z559" s="6"/>
      <c r="AA559" s="6" t="s">
        <v>377</v>
      </c>
      <c r="AB559" s="8"/>
    </row>
    <row r="560" spans="1:28" s="4" customFormat="1" ht="42" customHeight="1">
      <c r="A560" s="5">
        <v>0</v>
      </c>
      <c r="B560" s="6" t="s">
        <v>3482</v>
      </c>
      <c r="C560" s="7">
        <v>2963.9</v>
      </c>
      <c r="D560" s="8" t="s">
        <v>3483</v>
      </c>
      <c r="E560" s="8" t="s">
        <v>3475</v>
      </c>
      <c r="F560" s="8" t="s">
        <v>3484</v>
      </c>
      <c r="G560" s="6" t="s">
        <v>1770</v>
      </c>
      <c r="H560" s="6" t="s">
        <v>99</v>
      </c>
      <c r="I560" s="8"/>
      <c r="J560" s="9">
        <v>1</v>
      </c>
      <c r="K560" s="9">
        <v>712</v>
      </c>
      <c r="L560" s="9">
        <v>2019</v>
      </c>
      <c r="M560" s="8" t="s">
        <v>3485</v>
      </c>
      <c r="N560" s="8" t="s">
        <v>42</v>
      </c>
      <c r="O560" s="8" t="s">
        <v>101</v>
      </c>
      <c r="P560" s="6" t="s">
        <v>44</v>
      </c>
      <c r="Q560" s="8" t="s">
        <v>45</v>
      </c>
      <c r="R560" s="10" t="s">
        <v>269</v>
      </c>
      <c r="S560" s="11"/>
      <c r="T560" s="6"/>
      <c r="U560" s="24" t="str">
        <f>HYPERLINK("https://media.infra-m.ru/1077/1077648/cover/1077648.jpg", "Обложка")</f>
        <v>Обложка</v>
      </c>
      <c r="V560" s="24" t="str">
        <f>HYPERLINK("https://znanium.ru/catalog/product/1185756", "Ознакомиться")</f>
        <v>Ознакомиться</v>
      </c>
      <c r="W560" s="8" t="s">
        <v>418</v>
      </c>
      <c r="X560" s="6"/>
      <c r="Y560" s="6"/>
      <c r="Z560" s="6"/>
      <c r="AA560" s="6" t="s">
        <v>76</v>
      </c>
      <c r="AB560" s="8"/>
    </row>
    <row r="561" spans="1:28" s="4" customFormat="1" ht="42" customHeight="1">
      <c r="A561" s="5">
        <v>0</v>
      </c>
      <c r="B561" s="6" t="s">
        <v>3486</v>
      </c>
      <c r="C561" s="7">
        <v>2748</v>
      </c>
      <c r="D561" s="8" t="s">
        <v>3487</v>
      </c>
      <c r="E561" s="8" t="s">
        <v>3475</v>
      </c>
      <c r="F561" s="8" t="s">
        <v>3488</v>
      </c>
      <c r="G561" s="6" t="s">
        <v>132</v>
      </c>
      <c r="H561" s="6" t="s">
        <v>39</v>
      </c>
      <c r="I561" s="8" t="s">
        <v>164</v>
      </c>
      <c r="J561" s="9">
        <v>1</v>
      </c>
      <c r="K561" s="9">
        <v>491</v>
      </c>
      <c r="L561" s="9">
        <v>2024</v>
      </c>
      <c r="M561" s="8" t="s">
        <v>3489</v>
      </c>
      <c r="N561" s="8" t="s">
        <v>42</v>
      </c>
      <c r="O561" s="8" t="s">
        <v>101</v>
      </c>
      <c r="P561" s="6" t="s">
        <v>580</v>
      </c>
      <c r="Q561" s="8" t="s">
        <v>45</v>
      </c>
      <c r="R561" s="10" t="s">
        <v>269</v>
      </c>
      <c r="S561" s="11"/>
      <c r="T561" s="6"/>
      <c r="U561" s="24" t="str">
        <f>HYPERLINK("https://media.infra-m.ru/2146/2146549/cover/2146549.jpg", "Обложка")</f>
        <v>Обложка</v>
      </c>
      <c r="V561" s="24" t="str">
        <f>HYPERLINK("https://znanium.ru/catalog/product/2146549", "Ознакомиться")</f>
        <v>Ознакомиться</v>
      </c>
      <c r="W561" s="8" t="s">
        <v>167</v>
      </c>
      <c r="X561" s="6"/>
      <c r="Y561" s="6"/>
      <c r="Z561" s="6"/>
      <c r="AA561" s="6" t="s">
        <v>111</v>
      </c>
      <c r="AB561" s="8"/>
    </row>
    <row r="562" spans="1:28" s="4" customFormat="1" ht="42" customHeight="1">
      <c r="A562" s="5">
        <v>0</v>
      </c>
      <c r="B562" s="6" t="s">
        <v>3490</v>
      </c>
      <c r="C562" s="7">
        <v>3532.8</v>
      </c>
      <c r="D562" s="8" t="s">
        <v>3491</v>
      </c>
      <c r="E562" s="8" t="s">
        <v>3492</v>
      </c>
      <c r="F562" s="8" t="s">
        <v>3493</v>
      </c>
      <c r="G562" s="6" t="s">
        <v>132</v>
      </c>
      <c r="H562" s="6" t="s">
        <v>99</v>
      </c>
      <c r="I562" s="8"/>
      <c r="J562" s="9">
        <v>1</v>
      </c>
      <c r="K562" s="9">
        <v>608</v>
      </c>
      <c r="L562" s="9">
        <v>2025</v>
      </c>
      <c r="M562" s="8" t="s">
        <v>3494</v>
      </c>
      <c r="N562" s="8" t="s">
        <v>42</v>
      </c>
      <c r="O562" s="8" t="s">
        <v>101</v>
      </c>
      <c r="P562" s="6" t="s">
        <v>44</v>
      </c>
      <c r="Q562" s="8" t="s">
        <v>45</v>
      </c>
      <c r="R562" s="10" t="s">
        <v>2946</v>
      </c>
      <c r="S562" s="11"/>
      <c r="T562" s="6"/>
      <c r="U562" s="24" t="str">
        <f>HYPERLINK("https://media.infra-m.ru/2208/2208457/cover/2208457.jpg", "Обложка")</f>
        <v>Обложка</v>
      </c>
      <c r="V562" s="24" t="str">
        <f>HYPERLINK("https://znanium.ru/catalog/product/2094353", "Ознакомиться")</f>
        <v>Ознакомиться</v>
      </c>
      <c r="W562" s="8" t="s">
        <v>418</v>
      </c>
      <c r="X562" s="6"/>
      <c r="Y562" s="6"/>
      <c r="Z562" s="6"/>
      <c r="AA562" s="6" t="s">
        <v>369</v>
      </c>
      <c r="AB562" s="8"/>
    </row>
    <row r="563" spans="1:28" s="4" customFormat="1" ht="42" customHeight="1">
      <c r="A563" s="5">
        <v>0</v>
      </c>
      <c r="B563" s="6" t="s">
        <v>3495</v>
      </c>
      <c r="C563" s="13">
        <v>744</v>
      </c>
      <c r="D563" s="8" t="s">
        <v>3496</v>
      </c>
      <c r="E563" s="8" t="s">
        <v>3497</v>
      </c>
      <c r="F563" s="8" t="s">
        <v>3498</v>
      </c>
      <c r="G563" s="6" t="s">
        <v>38</v>
      </c>
      <c r="H563" s="6" t="s">
        <v>39</v>
      </c>
      <c r="I563" s="8" t="s">
        <v>40</v>
      </c>
      <c r="J563" s="9">
        <v>1</v>
      </c>
      <c r="K563" s="9">
        <v>122</v>
      </c>
      <c r="L563" s="9">
        <v>2023</v>
      </c>
      <c r="M563" s="8" t="s">
        <v>3499</v>
      </c>
      <c r="N563" s="8" t="s">
        <v>42</v>
      </c>
      <c r="O563" s="8" t="s">
        <v>65</v>
      </c>
      <c r="P563" s="6" t="s">
        <v>44</v>
      </c>
      <c r="Q563" s="8" t="s">
        <v>45</v>
      </c>
      <c r="R563" s="10" t="s">
        <v>3500</v>
      </c>
      <c r="S563" s="11"/>
      <c r="T563" s="6"/>
      <c r="U563" s="24" t="str">
        <f>HYPERLINK("https://media.infra-m.ru/2052/2052441/cover/2052441.jpg", "Обложка")</f>
        <v>Обложка</v>
      </c>
      <c r="V563" s="24" t="str">
        <f>HYPERLINK("https://znanium.ru/catalog/product/2052441", "Ознакомиться")</f>
        <v>Ознакомиться</v>
      </c>
      <c r="W563" s="8" t="s">
        <v>3501</v>
      </c>
      <c r="X563" s="6"/>
      <c r="Y563" s="6"/>
      <c r="Z563" s="6"/>
      <c r="AA563" s="6" t="s">
        <v>119</v>
      </c>
      <c r="AB563" s="8"/>
    </row>
    <row r="564" spans="1:28" s="4" customFormat="1" ht="51.95" customHeight="1">
      <c r="A564" s="5">
        <v>0</v>
      </c>
      <c r="B564" s="6" t="s">
        <v>3502</v>
      </c>
      <c r="C564" s="7">
        <v>1104</v>
      </c>
      <c r="D564" s="8" t="s">
        <v>3503</v>
      </c>
      <c r="E564" s="8" t="s">
        <v>3504</v>
      </c>
      <c r="F564" s="8" t="s">
        <v>3505</v>
      </c>
      <c r="G564" s="6" t="s">
        <v>38</v>
      </c>
      <c r="H564" s="6" t="s">
        <v>39</v>
      </c>
      <c r="I564" s="8" t="s">
        <v>40</v>
      </c>
      <c r="J564" s="9">
        <v>1</v>
      </c>
      <c r="K564" s="9">
        <v>180</v>
      </c>
      <c r="L564" s="9">
        <v>2023</v>
      </c>
      <c r="M564" s="8" t="s">
        <v>3506</v>
      </c>
      <c r="N564" s="8" t="s">
        <v>220</v>
      </c>
      <c r="O564" s="8" t="s">
        <v>296</v>
      </c>
      <c r="P564" s="6" t="s">
        <v>44</v>
      </c>
      <c r="Q564" s="8" t="s">
        <v>45</v>
      </c>
      <c r="R564" s="10" t="s">
        <v>3507</v>
      </c>
      <c r="S564" s="11"/>
      <c r="T564" s="6"/>
      <c r="U564" s="24" t="str">
        <f>HYPERLINK("https://media.infra-m.ru/2083/2083893/cover/2083893.jpg", "Обложка")</f>
        <v>Обложка</v>
      </c>
      <c r="V564" s="24" t="str">
        <f>HYPERLINK("https://znanium.ru/catalog/product/1850657", "Ознакомиться")</f>
        <v>Ознакомиться</v>
      </c>
      <c r="W564" s="8" t="s">
        <v>1010</v>
      </c>
      <c r="X564" s="6"/>
      <c r="Y564" s="6"/>
      <c r="Z564" s="6"/>
      <c r="AA564" s="6" t="s">
        <v>725</v>
      </c>
      <c r="AB564" s="8"/>
    </row>
    <row r="565" spans="1:28" s="4" customFormat="1" ht="51.95" customHeight="1">
      <c r="A565" s="5">
        <v>0</v>
      </c>
      <c r="B565" s="6" t="s">
        <v>3508</v>
      </c>
      <c r="C565" s="13">
        <v>828</v>
      </c>
      <c r="D565" s="8" t="s">
        <v>3509</v>
      </c>
      <c r="E565" s="8" t="s">
        <v>3510</v>
      </c>
      <c r="F565" s="8" t="s">
        <v>3511</v>
      </c>
      <c r="G565" s="6" t="s">
        <v>38</v>
      </c>
      <c r="H565" s="6" t="s">
        <v>39</v>
      </c>
      <c r="I565" s="8" t="s">
        <v>40</v>
      </c>
      <c r="J565" s="9">
        <v>1</v>
      </c>
      <c r="K565" s="9">
        <v>177</v>
      </c>
      <c r="L565" s="9">
        <v>2022</v>
      </c>
      <c r="M565" s="8" t="s">
        <v>3512</v>
      </c>
      <c r="N565" s="8" t="s">
        <v>220</v>
      </c>
      <c r="O565" s="8" t="s">
        <v>296</v>
      </c>
      <c r="P565" s="6" t="s">
        <v>44</v>
      </c>
      <c r="Q565" s="8" t="s">
        <v>45</v>
      </c>
      <c r="R565" s="10" t="s">
        <v>3507</v>
      </c>
      <c r="S565" s="11"/>
      <c r="T565" s="6"/>
      <c r="U565" s="24" t="str">
        <f>HYPERLINK("https://media.infra-m.ru/1846/1846238/cover/1846238.jpg", "Обложка")</f>
        <v>Обложка</v>
      </c>
      <c r="V565" s="24" t="str">
        <f>HYPERLINK("https://znanium.ru/catalog/product/1850657", "Ознакомиться")</f>
        <v>Ознакомиться</v>
      </c>
      <c r="W565" s="8" t="s">
        <v>1010</v>
      </c>
      <c r="X565" s="6"/>
      <c r="Y565" s="6"/>
      <c r="Z565" s="6"/>
      <c r="AA565" s="6" t="s">
        <v>76</v>
      </c>
      <c r="AB565" s="8"/>
    </row>
    <row r="566" spans="1:28" s="4" customFormat="1" ht="44.1" customHeight="1">
      <c r="A566" s="5">
        <v>0</v>
      </c>
      <c r="B566" s="6" t="s">
        <v>3513</v>
      </c>
      <c r="C566" s="7">
        <v>4800</v>
      </c>
      <c r="D566" s="8" t="s">
        <v>3514</v>
      </c>
      <c r="E566" s="8" t="s">
        <v>3515</v>
      </c>
      <c r="F566" s="8" t="s">
        <v>3516</v>
      </c>
      <c r="G566" s="6" t="s">
        <v>132</v>
      </c>
      <c r="H566" s="6" t="s">
        <v>39</v>
      </c>
      <c r="I566" s="8" t="s">
        <v>40</v>
      </c>
      <c r="J566" s="9">
        <v>1</v>
      </c>
      <c r="K566" s="9">
        <v>432</v>
      </c>
      <c r="L566" s="9">
        <v>2025</v>
      </c>
      <c r="M566" s="8" t="s">
        <v>3517</v>
      </c>
      <c r="N566" s="8" t="s">
        <v>42</v>
      </c>
      <c r="O566" s="8" t="s">
        <v>101</v>
      </c>
      <c r="P566" s="6" t="s">
        <v>44</v>
      </c>
      <c r="Q566" s="8" t="s">
        <v>45</v>
      </c>
      <c r="R566" s="10" t="s">
        <v>3518</v>
      </c>
      <c r="S566" s="11"/>
      <c r="T566" s="6"/>
      <c r="U566" s="24" t="str">
        <f>HYPERLINK("https://media.infra-m.ru/2195/2195488/cover/2195488.jpg", "Обложка")</f>
        <v>Обложка</v>
      </c>
      <c r="V566" s="24" t="str">
        <f>HYPERLINK("https://znanium.ru/catalog/product/2195488", "Ознакомиться")</f>
        <v>Ознакомиться</v>
      </c>
      <c r="W566" s="8" t="s">
        <v>3519</v>
      </c>
      <c r="X566" s="6" t="s">
        <v>320</v>
      </c>
      <c r="Y566" s="6"/>
      <c r="Z566" s="6"/>
      <c r="AA566" s="6" t="s">
        <v>159</v>
      </c>
      <c r="AB566" s="8"/>
    </row>
    <row r="567" spans="1:28" s="4" customFormat="1" ht="42" customHeight="1">
      <c r="A567" s="5">
        <v>0</v>
      </c>
      <c r="B567" s="6" t="s">
        <v>3520</v>
      </c>
      <c r="C567" s="7">
        <v>2160</v>
      </c>
      <c r="D567" s="8" t="s">
        <v>3521</v>
      </c>
      <c r="E567" s="8" t="s">
        <v>3522</v>
      </c>
      <c r="F567" s="8" t="s">
        <v>827</v>
      </c>
      <c r="G567" s="6" t="s">
        <v>132</v>
      </c>
      <c r="H567" s="6" t="s">
        <v>39</v>
      </c>
      <c r="I567" s="8" t="s">
        <v>828</v>
      </c>
      <c r="J567" s="9">
        <v>1</v>
      </c>
      <c r="K567" s="9">
        <v>381</v>
      </c>
      <c r="L567" s="9">
        <v>2024</v>
      </c>
      <c r="M567" s="8" t="s">
        <v>3523</v>
      </c>
      <c r="N567" s="8" t="s">
        <v>42</v>
      </c>
      <c r="O567" s="8" t="s">
        <v>1002</v>
      </c>
      <c r="P567" s="6" t="s">
        <v>659</v>
      </c>
      <c r="Q567" s="8" t="s">
        <v>287</v>
      </c>
      <c r="R567" s="10" t="s">
        <v>823</v>
      </c>
      <c r="S567" s="11"/>
      <c r="T567" s="6"/>
      <c r="U567" s="24" t="str">
        <f>HYPERLINK("https://media.infra-m.ru/1415/1415375/cover/1415375.jpg", "Обложка")</f>
        <v>Обложка</v>
      </c>
      <c r="V567" s="24" t="str">
        <f>HYPERLINK("https://znanium.ru/catalog/product/1415375", "Ознакомиться")</f>
        <v>Ознакомиться</v>
      </c>
      <c r="W567" s="8" t="s">
        <v>831</v>
      </c>
      <c r="X567" s="6"/>
      <c r="Y567" s="6"/>
      <c r="Z567" s="6"/>
      <c r="AA567" s="6" t="s">
        <v>58</v>
      </c>
      <c r="AB567" s="8"/>
    </row>
    <row r="568" spans="1:28" s="4" customFormat="1" ht="42" customHeight="1">
      <c r="A568" s="5">
        <v>0</v>
      </c>
      <c r="B568" s="6" t="s">
        <v>3524</v>
      </c>
      <c r="C568" s="13">
        <v>964.8</v>
      </c>
      <c r="D568" s="8" t="s">
        <v>3525</v>
      </c>
      <c r="E568" s="8" t="s">
        <v>3526</v>
      </c>
      <c r="F568" s="8" t="s">
        <v>3527</v>
      </c>
      <c r="G568" s="6" t="s">
        <v>38</v>
      </c>
      <c r="H568" s="6" t="s">
        <v>39</v>
      </c>
      <c r="I568" s="8" t="s">
        <v>40</v>
      </c>
      <c r="J568" s="9">
        <v>1</v>
      </c>
      <c r="K568" s="9">
        <v>168</v>
      </c>
      <c r="L568" s="9">
        <v>2023</v>
      </c>
      <c r="M568" s="8" t="s">
        <v>3528</v>
      </c>
      <c r="N568" s="8" t="s">
        <v>284</v>
      </c>
      <c r="O568" s="8" t="s">
        <v>717</v>
      </c>
      <c r="P568" s="6" t="s">
        <v>44</v>
      </c>
      <c r="Q568" s="8" t="s">
        <v>45</v>
      </c>
      <c r="R568" s="10" t="s">
        <v>3529</v>
      </c>
      <c r="S568" s="11"/>
      <c r="T568" s="6"/>
      <c r="U568" s="24" t="str">
        <f>HYPERLINK("https://media.infra-m.ru/2058/2058757/cover/2058757.jpg", "Обложка")</f>
        <v>Обложка</v>
      </c>
      <c r="V568" s="24" t="str">
        <f>HYPERLINK("https://znanium.ru/catalog/product/1864088", "Ознакомиться")</f>
        <v>Ознакомиться</v>
      </c>
      <c r="W568" s="8" t="s">
        <v>3530</v>
      </c>
      <c r="X568" s="6"/>
      <c r="Y568" s="6"/>
      <c r="Z568" s="6"/>
      <c r="AA568" s="6" t="s">
        <v>168</v>
      </c>
      <c r="AB568" s="8"/>
    </row>
    <row r="569" spans="1:28" s="4" customFormat="1" ht="42" customHeight="1">
      <c r="A569" s="5">
        <v>0</v>
      </c>
      <c r="B569" s="6" t="s">
        <v>3531</v>
      </c>
      <c r="C569" s="7">
        <v>1008</v>
      </c>
      <c r="D569" s="8" t="s">
        <v>3532</v>
      </c>
      <c r="E569" s="8" t="s">
        <v>3533</v>
      </c>
      <c r="F569" s="8" t="s">
        <v>3534</v>
      </c>
      <c r="G569" s="6" t="s">
        <v>38</v>
      </c>
      <c r="H569" s="6" t="s">
        <v>39</v>
      </c>
      <c r="I569" s="8" t="s">
        <v>40</v>
      </c>
      <c r="J569" s="9">
        <v>1</v>
      </c>
      <c r="K569" s="9">
        <v>186</v>
      </c>
      <c r="L569" s="9">
        <v>2023</v>
      </c>
      <c r="M569" s="8" t="s">
        <v>3535</v>
      </c>
      <c r="N569" s="8" t="s">
        <v>284</v>
      </c>
      <c r="O569" s="8" t="s">
        <v>717</v>
      </c>
      <c r="P569" s="6" t="s">
        <v>44</v>
      </c>
      <c r="Q569" s="8" t="s">
        <v>45</v>
      </c>
      <c r="R569" s="10" t="s">
        <v>718</v>
      </c>
      <c r="S569" s="11"/>
      <c r="T569" s="6"/>
      <c r="U569" s="24" t="str">
        <f>HYPERLINK("https://media.infra-m.ru/2045/2045885/cover/2045885.jpg", "Обложка")</f>
        <v>Обложка</v>
      </c>
      <c r="V569" s="24" t="str">
        <f>HYPERLINK("https://znanium.ru/catalog/product/2045885", "Ознакомиться")</f>
        <v>Ознакомиться</v>
      </c>
      <c r="W569" s="8" t="s">
        <v>3536</v>
      </c>
      <c r="X569" s="6"/>
      <c r="Y569" s="6"/>
      <c r="Z569" s="6"/>
      <c r="AA569" s="6" t="s">
        <v>199</v>
      </c>
      <c r="AB569" s="8"/>
    </row>
    <row r="570" spans="1:28" s="4" customFormat="1" ht="44.1" customHeight="1">
      <c r="A570" s="5">
        <v>0</v>
      </c>
      <c r="B570" s="6" t="s">
        <v>3537</v>
      </c>
      <c r="C570" s="7">
        <v>1944</v>
      </c>
      <c r="D570" s="8" t="s">
        <v>3538</v>
      </c>
      <c r="E570" s="8" t="s">
        <v>3539</v>
      </c>
      <c r="F570" s="8" t="s">
        <v>3540</v>
      </c>
      <c r="G570" s="6" t="s">
        <v>81</v>
      </c>
      <c r="H570" s="6" t="s">
        <v>99</v>
      </c>
      <c r="I570" s="8"/>
      <c r="J570" s="9">
        <v>1</v>
      </c>
      <c r="K570" s="9">
        <v>416</v>
      </c>
      <c r="L570" s="9">
        <v>2022</v>
      </c>
      <c r="M570" s="8" t="s">
        <v>3541</v>
      </c>
      <c r="N570" s="8" t="s">
        <v>42</v>
      </c>
      <c r="O570" s="8" t="s">
        <v>101</v>
      </c>
      <c r="P570" s="6" t="s">
        <v>44</v>
      </c>
      <c r="Q570" s="8" t="s">
        <v>45</v>
      </c>
      <c r="R570" s="10" t="s">
        <v>874</v>
      </c>
      <c r="S570" s="11"/>
      <c r="T570" s="6"/>
      <c r="U570" s="24" t="str">
        <f>HYPERLINK("https://media.infra-m.ru/1858/1858195/cover/1858195.jpg", "Обложка")</f>
        <v>Обложка</v>
      </c>
      <c r="V570" s="24" t="str">
        <f>HYPERLINK("https://znanium.ru/catalog/product/1858195", "Ознакомиться")</f>
        <v>Ознакомиться</v>
      </c>
      <c r="W570" s="8" t="s">
        <v>103</v>
      </c>
      <c r="X570" s="6"/>
      <c r="Y570" s="6"/>
      <c r="Z570" s="6"/>
      <c r="AA570" s="6" t="s">
        <v>76</v>
      </c>
      <c r="AB570" s="8"/>
    </row>
    <row r="571" spans="1:28" s="4" customFormat="1" ht="42" customHeight="1">
      <c r="A571" s="5">
        <v>0</v>
      </c>
      <c r="B571" s="6" t="s">
        <v>3542</v>
      </c>
      <c r="C571" s="13">
        <v>840</v>
      </c>
      <c r="D571" s="8" t="s">
        <v>3543</v>
      </c>
      <c r="E571" s="8" t="s">
        <v>3544</v>
      </c>
      <c r="F571" s="8" t="s">
        <v>3545</v>
      </c>
      <c r="G571" s="6" t="s">
        <v>38</v>
      </c>
      <c r="H571" s="6" t="s">
        <v>182</v>
      </c>
      <c r="I571" s="8" t="s">
        <v>40</v>
      </c>
      <c r="J571" s="9">
        <v>1</v>
      </c>
      <c r="K571" s="9">
        <v>134</v>
      </c>
      <c r="L571" s="9">
        <v>2025</v>
      </c>
      <c r="M571" s="8" t="s">
        <v>3546</v>
      </c>
      <c r="N571" s="8" t="s">
        <v>54</v>
      </c>
      <c r="O571" s="8" t="s">
        <v>55</v>
      </c>
      <c r="P571" s="6" t="s">
        <v>44</v>
      </c>
      <c r="Q571" s="8" t="s">
        <v>45</v>
      </c>
      <c r="R571" s="10" t="s">
        <v>3547</v>
      </c>
      <c r="S571" s="11"/>
      <c r="T571" s="6"/>
      <c r="U571" s="24" t="str">
        <f>HYPERLINK("https://media.infra-m.ru/2167/2167410/cover/2167410.jpg", "Обложка")</f>
        <v>Обложка</v>
      </c>
      <c r="V571" s="24" t="str">
        <f>HYPERLINK("https://znanium.ru/catalog/product/2167410", "Ознакомиться")</f>
        <v>Ознакомиться</v>
      </c>
      <c r="W571" s="8" t="s">
        <v>601</v>
      </c>
      <c r="X571" s="6"/>
      <c r="Y571" s="6"/>
      <c r="Z571" s="6"/>
      <c r="AA571" s="6" t="s">
        <v>177</v>
      </c>
      <c r="AB571" s="8"/>
    </row>
    <row r="572" spans="1:28" s="4" customFormat="1" ht="42" customHeight="1">
      <c r="A572" s="5">
        <v>0</v>
      </c>
      <c r="B572" s="6" t="s">
        <v>3548</v>
      </c>
      <c r="C572" s="13">
        <v>456</v>
      </c>
      <c r="D572" s="8" t="s">
        <v>3549</v>
      </c>
      <c r="E572" s="8" t="s">
        <v>3550</v>
      </c>
      <c r="F572" s="8" t="s">
        <v>3545</v>
      </c>
      <c r="G572" s="6" t="s">
        <v>38</v>
      </c>
      <c r="H572" s="6" t="s">
        <v>182</v>
      </c>
      <c r="I572" s="8" t="s">
        <v>40</v>
      </c>
      <c r="J572" s="9">
        <v>1</v>
      </c>
      <c r="K572" s="9">
        <v>112</v>
      </c>
      <c r="L572" s="9">
        <v>2019</v>
      </c>
      <c r="M572" s="8" t="s">
        <v>3551</v>
      </c>
      <c r="N572" s="8" t="s">
        <v>54</v>
      </c>
      <c r="O572" s="8" t="s">
        <v>55</v>
      </c>
      <c r="P572" s="6" t="s">
        <v>44</v>
      </c>
      <c r="Q572" s="8" t="s">
        <v>45</v>
      </c>
      <c r="R572" s="10" t="s">
        <v>3547</v>
      </c>
      <c r="S572" s="11"/>
      <c r="T572" s="6"/>
      <c r="U572" s="24" t="str">
        <f>HYPERLINK("https://media.infra-m.ru/1019/1019052/cover/1019052.jpg", "Обложка")</f>
        <v>Обложка</v>
      </c>
      <c r="V572" s="24" t="str">
        <f>HYPERLINK("https://znanium.ru/catalog/product/2167410", "Ознакомиться")</f>
        <v>Ознакомиться</v>
      </c>
      <c r="W572" s="8" t="s">
        <v>601</v>
      </c>
      <c r="X572" s="6"/>
      <c r="Y572" s="6"/>
      <c r="Z572" s="6"/>
      <c r="AA572" s="6" t="s">
        <v>369</v>
      </c>
      <c r="AB572" s="8"/>
    </row>
    <row r="573" spans="1:28" s="4" customFormat="1" ht="44.1" customHeight="1">
      <c r="A573" s="5">
        <v>0</v>
      </c>
      <c r="B573" s="6" t="s">
        <v>3552</v>
      </c>
      <c r="C573" s="13">
        <v>628.79999999999995</v>
      </c>
      <c r="D573" s="8" t="s">
        <v>3553</v>
      </c>
      <c r="E573" s="8" t="s">
        <v>3554</v>
      </c>
      <c r="F573" s="8" t="s">
        <v>3555</v>
      </c>
      <c r="G573" s="6" t="s">
        <v>38</v>
      </c>
      <c r="H573" s="6" t="s">
        <v>39</v>
      </c>
      <c r="I573" s="8" t="s">
        <v>40</v>
      </c>
      <c r="J573" s="9">
        <v>1</v>
      </c>
      <c r="K573" s="9">
        <v>106</v>
      </c>
      <c r="L573" s="9">
        <v>2024</v>
      </c>
      <c r="M573" s="8" t="s">
        <v>3556</v>
      </c>
      <c r="N573" s="8" t="s">
        <v>42</v>
      </c>
      <c r="O573" s="8" t="s">
        <v>1035</v>
      </c>
      <c r="P573" s="6" t="s">
        <v>44</v>
      </c>
      <c r="Q573" s="8" t="s">
        <v>45</v>
      </c>
      <c r="R573" s="10" t="s">
        <v>3557</v>
      </c>
      <c r="S573" s="11"/>
      <c r="T573" s="6"/>
      <c r="U573" s="24" t="str">
        <f>HYPERLINK("https://media.infra-m.ru/2161/2161101/cover/2161101.jpg", "Обложка")</f>
        <v>Обложка</v>
      </c>
      <c r="V573" s="24" t="str">
        <f>HYPERLINK("https://znanium.ru/catalog/product/2138766", "Ознакомиться")</f>
        <v>Ознакомиться</v>
      </c>
      <c r="W573" s="8" t="s">
        <v>1204</v>
      </c>
      <c r="X573" s="6"/>
      <c r="Y573" s="6"/>
      <c r="Z573" s="6"/>
      <c r="AA573" s="6" t="s">
        <v>377</v>
      </c>
      <c r="AB573" s="8"/>
    </row>
    <row r="574" spans="1:28" s="4" customFormat="1" ht="51.95" customHeight="1">
      <c r="A574" s="5">
        <v>0</v>
      </c>
      <c r="B574" s="6" t="s">
        <v>3558</v>
      </c>
      <c r="C574" s="7">
        <v>1565.9</v>
      </c>
      <c r="D574" s="8" t="s">
        <v>3559</v>
      </c>
      <c r="E574" s="8" t="s">
        <v>3560</v>
      </c>
      <c r="F574" s="8" t="s">
        <v>3561</v>
      </c>
      <c r="G574" s="6" t="s">
        <v>132</v>
      </c>
      <c r="H574" s="6" t="s">
        <v>39</v>
      </c>
      <c r="I574" s="8" t="s">
        <v>40</v>
      </c>
      <c r="J574" s="9">
        <v>1</v>
      </c>
      <c r="K574" s="9">
        <v>289</v>
      </c>
      <c r="L574" s="9">
        <v>2023</v>
      </c>
      <c r="M574" s="8" t="s">
        <v>3562</v>
      </c>
      <c r="N574" s="8" t="s">
        <v>42</v>
      </c>
      <c r="O574" s="8" t="s">
        <v>189</v>
      </c>
      <c r="P574" s="6" t="s">
        <v>44</v>
      </c>
      <c r="Q574" s="8" t="s">
        <v>45</v>
      </c>
      <c r="R574" s="10" t="s">
        <v>3563</v>
      </c>
      <c r="S574" s="11"/>
      <c r="T574" s="6"/>
      <c r="U574" s="24" t="str">
        <f>HYPERLINK("https://media.infra-m.ru/2002/2002622/cover/2002622.jpg", "Обложка")</f>
        <v>Обложка</v>
      </c>
      <c r="V574" s="24" t="str">
        <f>HYPERLINK("https://znanium.ru/catalog/product/968751", "Ознакомиться")</f>
        <v>Ознакомиться</v>
      </c>
      <c r="W574" s="8" t="s">
        <v>3564</v>
      </c>
      <c r="X574" s="6"/>
      <c r="Y574" s="6"/>
      <c r="Z574" s="6"/>
      <c r="AA574" s="6" t="s">
        <v>369</v>
      </c>
      <c r="AB574" s="8"/>
    </row>
    <row r="575" spans="1:28" s="4" customFormat="1" ht="51.95" customHeight="1">
      <c r="A575" s="5">
        <v>0</v>
      </c>
      <c r="B575" s="6" t="s">
        <v>3565</v>
      </c>
      <c r="C575" s="13">
        <v>576</v>
      </c>
      <c r="D575" s="8" t="s">
        <v>3566</v>
      </c>
      <c r="E575" s="8" t="s">
        <v>3567</v>
      </c>
      <c r="F575" s="8" t="s">
        <v>3568</v>
      </c>
      <c r="G575" s="6" t="s">
        <v>38</v>
      </c>
      <c r="H575" s="6" t="s">
        <v>39</v>
      </c>
      <c r="I575" s="8" t="s">
        <v>40</v>
      </c>
      <c r="J575" s="9">
        <v>1</v>
      </c>
      <c r="K575" s="9">
        <v>95</v>
      </c>
      <c r="L575" s="9">
        <v>2024</v>
      </c>
      <c r="M575" s="8" t="s">
        <v>3569</v>
      </c>
      <c r="N575" s="8" t="s">
        <v>42</v>
      </c>
      <c r="O575" s="8" t="s">
        <v>189</v>
      </c>
      <c r="P575" s="6" t="s">
        <v>44</v>
      </c>
      <c r="Q575" s="8" t="s">
        <v>45</v>
      </c>
      <c r="R575" s="10" t="s">
        <v>3570</v>
      </c>
      <c r="S575" s="11"/>
      <c r="T575" s="6"/>
      <c r="U575" s="24" t="str">
        <f>HYPERLINK("https://media.infra-m.ru/2114/2114338/cover/2114338.jpg", "Обложка")</f>
        <v>Обложка</v>
      </c>
      <c r="V575" s="24" t="str">
        <f>HYPERLINK("https://znanium.ru/catalog/product/2114338", "Ознакомиться")</f>
        <v>Ознакомиться</v>
      </c>
      <c r="W575" s="8" t="s">
        <v>3571</v>
      </c>
      <c r="X575" s="6"/>
      <c r="Y575" s="6"/>
      <c r="Z575" s="6"/>
      <c r="AA575" s="6" t="s">
        <v>290</v>
      </c>
      <c r="AB575" s="8"/>
    </row>
    <row r="576" spans="1:28" s="4" customFormat="1" ht="51.95" customHeight="1">
      <c r="A576" s="5">
        <v>0</v>
      </c>
      <c r="B576" s="6" t="s">
        <v>3572</v>
      </c>
      <c r="C576" s="13">
        <v>924</v>
      </c>
      <c r="D576" s="8" t="s">
        <v>3573</v>
      </c>
      <c r="E576" s="8" t="s">
        <v>3574</v>
      </c>
      <c r="F576" s="8" t="s">
        <v>3575</v>
      </c>
      <c r="G576" s="6" t="s">
        <v>132</v>
      </c>
      <c r="H576" s="6" t="s">
        <v>3576</v>
      </c>
      <c r="I576" s="8" t="s">
        <v>3577</v>
      </c>
      <c r="J576" s="9">
        <v>1</v>
      </c>
      <c r="K576" s="9">
        <v>256</v>
      </c>
      <c r="L576" s="9">
        <v>2018</v>
      </c>
      <c r="M576" s="8" t="s">
        <v>3578</v>
      </c>
      <c r="N576" s="8" t="s">
        <v>42</v>
      </c>
      <c r="O576" s="8" t="s">
        <v>246</v>
      </c>
      <c r="P576" s="6" t="s">
        <v>44</v>
      </c>
      <c r="Q576" s="8" t="s">
        <v>45</v>
      </c>
      <c r="R576" s="10" t="s">
        <v>3579</v>
      </c>
      <c r="S576" s="11"/>
      <c r="T576" s="6"/>
      <c r="U576" s="24" t="str">
        <f>HYPERLINK("https://media.infra-m.ru/0952/0952082/cover/952082.jpg", "Обложка")</f>
        <v>Обложка</v>
      </c>
      <c r="V576" s="12"/>
      <c r="W576" s="8" t="s">
        <v>2080</v>
      </c>
      <c r="X576" s="6"/>
      <c r="Y576" s="6"/>
      <c r="Z576" s="6"/>
      <c r="AA576" s="6" t="s">
        <v>339</v>
      </c>
      <c r="AB576" s="8"/>
    </row>
    <row r="577" spans="1:28" s="4" customFormat="1" ht="44.1" customHeight="1">
      <c r="A577" s="5">
        <v>0</v>
      </c>
      <c r="B577" s="6" t="s">
        <v>3580</v>
      </c>
      <c r="C577" s="7">
        <v>1000.8</v>
      </c>
      <c r="D577" s="8" t="s">
        <v>3581</v>
      </c>
      <c r="E577" s="8" t="s">
        <v>3582</v>
      </c>
      <c r="F577" s="8" t="s">
        <v>3583</v>
      </c>
      <c r="G577" s="6" t="s">
        <v>38</v>
      </c>
      <c r="H577" s="6" t="s">
        <v>39</v>
      </c>
      <c r="I577" s="8" t="s">
        <v>40</v>
      </c>
      <c r="J577" s="9">
        <v>1</v>
      </c>
      <c r="K577" s="9">
        <v>160</v>
      </c>
      <c r="L577" s="9">
        <v>2026</v>
      </c>
      <c r="M577" s="8" t="s">
        <v>3584</v>
      </c>
      <c r="N577" s="8" t="s">
        <v>42</v>
      </c>
      <c r="O577" s="8" t="s">
        <v>1002</v>
      </c>
      <c r="P577" s="6" t="s">
        <v>44</v>
      </c>
      <c r="Q577" s="8" t="s">
        <v>45</v>
      </c>
      <c r="R577" s="10" t="s">
        <v>3585</v>
      </c>
      <c r="S577" s="11"/>
      <c r="T577" s="6"/>
      <c r="U577" s="24" t="str">
        <f>HYPERLINK("https://media.infra-m.ru/2219/2219041/cover/2219041.jpg", "Обложка")</f>
        <v>Обложка</v>
      </c>
      <c r="V577" s="24" t="str">
        <f>HYPERLINK("https://znanium.ru/catalog/product/2170070", "Ознакомиться")</f>
        <v>Ознакомиться</v>
      </c>
      <c r="W577" s="8" t="s">
        <v>3586</v>
      </c>
      <c r="X577" s="6"/>
      <c r="Y577" s="6"/>
      <c r="Z577" s="6"/>
      <c r="AA577" s="6" t="s">
        <v>199</v>
      </c>
      <c r="AB577" s="8"/>
    </row>
    <row r="578" spans="1:28" s="4" customFormat="1" ht="44.1" customHeight="1">
      <c r="A578" s="5">
        <v>0</v>
      </c>
      <c r="B578" s="6" t="s">
        <v>3587</v>
      </c>
      <c r="C578" s="13">
        <v>832.8</v>
      </c>
      <c r="D578" s="8" t="s">
        <v>3588</v>
      </c>
      <c r="E578" s="8" t="s">
        <v>3589</v>
      </c>
      <c r="F578" s="8" t="s">
        <v>3590</v>
      </c>
      <c r="G578" s="6" t="s">
        <v>38</v>
      </c>
      <c r="H578" s="6" t="s">
        <v>39</v>
      </c>
      <c r="I578" s="8" t="s">
        <v>40</v>
      </c>
      <c r="J578" s="9">
        <v>1</v>
      </c>
      <c r="K578" s="9">
        <v>124</v>
      </c>
      <c r="L578" s="9">
        <v>2025</v>
      </c>
      <c r="M578" s="8" t="s">
        <v>3591</v>
      </c>
      <c r="N578" s="8" t="s">
        <v>284</v>
      </c>
      <c r="O578" s="8" t="s">
        <v>285</v>
      </c>
      <c r="P578" s="6" t="s">
        <v>44</v>
      </c>
      <c r="Q578" s="8" t="s">
        <v>45</v>
      </c>
      <c r="R578" s="10" t="s">
        <v>3592</v>
      </c>
      <c r="S578" s="11"/>
      <c r="T578" s="6"/>
      <c r="U578" s="24" t="str">
        <f>HYPERLINK("https://media.infra-m.ru/2184/2184905/cover/2184905.jpg", "Обложка")</f>
        <v>Обложка</v>
      </c>
      <c r="V578" s="24" t="str">
        <f>HYPERLINK("https://znanium.ru/catalog/product/2094496", "Ознакомиться")</f>
        <v>Ознакомиться</v>
      </c>
      <c r="W578" s="8" t="s">
        <v>3593</v>
      </c>
      <c r="X578" s="6"/>
      <c r="Y578" s="6"/>
      <c r="Z578" s="6"/>
      <c r="AA578" s="6" t="s">
        <v>168</v>
      </c>
      <c r="AB578" s="8"/>
    </row>
    <row r="579" spans="1:28" s="4" customFormat="1" ht="51.95" customHeight="1">
      <c r="A579" s="5">
        <v>0</v>
      </c>
      <c r="B579" s="6" t="s">
        <v>3594</v>
      </c>
      <c r="C579" s="7">
        <v>1848</v>
      </c>
      <c r="D579" s="8" t="s">
        <v>3595</v>
      </c>
      <c r="E579" s="8" t="s">
        <v>3596</v>
      </c>
      <c r="F579" s="8" t="s">
        <v>3597</v>
      </c>
      <c r="G579" s="6" t="s">
        <v>81</v>
      </c>
      <c r="H579" s="6" t="s">
        <v>39</v>
      </c>
      <c r="I579" s="8" t="s">
        <v>828</v>
      </c>
      <c r="J579" s="9">
        <v>1</v>
      </c>
      <c r="K579" s="9">
        <v>336</v>
      </c>
      <c r="L579" s="9">
        <v>2023</v>
      </c>
      <c r="M579" s="8" t="s">
        <v>3598</v>
      </c>
      <c r="N579" s="8" t="s">
        <v>220</v>
      </c>
      <c r="O579" s="8" t="s">
        <v>296</v>
      </c>
      <c r="P579" s="6" t="s">
        <v>1195</v>
      </c>
      <c r="Q579" s="8" t="s">
        <v>416</v>
      </c>
      <c r="R579" s="10" t="s">
        <v>3599</v>
      </c>
      <c r="S579" s="11"/>
      <c r="T579" s="6" t="s">
        <v>1080</v>
      </c>
      <c r="U579" s="24" t="str">
        <f>HYPERLINK("https://media.infra-m.ru/1976/1976191/cover/1976191.jpg", "Обложка")</f>
        <v>Обложка</v>
      </c>
      <c r="V579" s="24" t="str">
        <f>HYPERLINK("https://znanium.ru/catalog/product/1976191", "Ознакомиться")</f>
        <v>Ознакомиться</v>
      </c>
      <c r="W579" s="8" t="s">
        <v>3600</v>
      </c>
      <c r="X579" s="6"/>
      <c r="Y579" s="6"/>
      <c r="Z579" s="6"/>
      <c r="AA579" s="6" t="s">
        <v>339</v>
      </c>
      <c r="AB579" s="8"/>
    </row>
    <row r="580" spans="1:28" s="4" customFormat="1" ht="42" customHeight="1">
      <c r="A580" s="5">
        <v>0</v>
      </c>
      <c r="B580" s="6" t="s">
        <v>3601</v>
      </c>
      <c r="C580" s="13">
        <v>708</v>
      </c>
      <c r="D580" s="8" t="s">
        <v>3602</v>
      </c>
      <c r="E580" s="8" t="s">
        <v>3603</v>
      </c>
      <c r="F580" s="8" t="s">
        <v>3604</v>
      </c>
      <c r="G580" s="6" t="s">
        <v>81</v>
      </c>
      <c r="H580" s="6" t="s">
        <v>39</v>
      </c>
      <c r="I580" s="8" t="s">
        <v>344</v>
      </c>
      <c r="J580" s="9">
        <v>1</v>
      </c>
      <c r="K580" s="9">
        <v>168</v>
      </c>
      <c r="L580" s="9">
        <v>2020</v>
      </c>
      <c r="M580" s="8" t="s">
        <v>3605</v>
      </c>
      <c r="N580" s="8" t="s">
        <v>284</v>
      </c>
      <c r="O580" s="8" t="s">
        <v>285</v>
      </c>
      <c r="P580" s="6" t="s">
        <v>44</v>
      </c>
      <c r="Q580" s="8" t="s">
        <v>45</v>
      </c>
      <c r="R580" s="10" t="s">
        <v>3606</v>
      </c>
      <c r="S580" s="11"/>
      <c r="T580" s="6"/>
      <c r="U580" s="24" t="str">
        <f>HYPERLINK("https://media.infra-m.ru/1072/1072219/cover/1072219.jpg", "Обложка")</f>
        <v>Обложка</v>
      </c>
      <c r="V580" s="12"/>
      <c r="W580" s="8" t="s">
        <v>346</v>
      </c>
      <c r="X580" s="6"/>
      <c r="Y580" s="6"/>
      <c r="Z580" s="6"/>
      <c r="AA580" s="6" t="s">
        <v>68</v>
      </c>
      <c r="AB580" s="8"/>
    </row>
    <row r="581" spans="1:28" s="4" customFormat="1" ht="51.95" customHeight="1">
      <c r="A581" s="5">
        <v>0</v>
      </c>
      <c r="B581" s="6" t="s">
        <v>3607</v>
      </c>
      <c r="C581" s="7">
        <v>1368</v>
      </c>
      <c r="D581" s="8" t="s">
        <v>3608</v>
      </c>
      <c r="E581" s="8" t="s">
        <v>3609</v>
      </c>
      <c r="F581" s="8" t="s">
        <v>3610</v>
      </c>
      <c r="G581" s="6" t="s">
        <v>38</v>
      </c>
      <c r="H581" s="6" t="s">
        <v>39</v>
      </c>
      <c r="I581" s="8" t="s">
        <v>40</v>
      </c>
      <c r="J581" s="9">
        <v>1</v>
      </c>
      <c r="K581" s="9">
        <v>270</v>
      </c>
      <c r="L581" s="9">
        <v>2022</v>
      </c>
      <c r="M581" s="8" t="s">
        <v>3611</v>
      </c>
      <c r="N581" s="8" t="s">
        <v>42</v>
      </c>
      <c r="O581" s="8" t="s">
        <v>189</v>
      </c>
      <c r="P581" s="6" t="s">
        <v>44</v>
      </c>
      <c r="Q581" s="8" t="s">
        <v>45</v>
      </c>
      <c r="R581" s="10" t="s">
        <v>3612</v>
      </c>
      <c r="S581" s="11"/>
      <c r="T581" s="6"/>
      <c r="U581" s="24" t="str">
        <f>HYPERLINK("https://media.infra-m.ru/1836/1836241/cover/1836241.jpg", "Обложка")</f>
        <v>Обложка</v>
      </c>
      <c r="V581" s="24" t="str">
        <f>HYPERLINK("https://znanium.ru/catalog/product/1836241", "Ознакомиться")</f>
        <v>Ознакомиться</v>
      </c>
      <c r="W581" s="8" t="s">
        <v>3613</v>
      </c>
      <c r="X581" s="6"/>
      <c r="Y581" s="6"/>
      <c r="Z581" s="6"/>
      <c r="AA581" s="6" t="s">
        <v>111</v>
      </c>
      <c r="AB581" s="8"/>
    </row>
    <row r="582" spans="1:28" s="4" customFormat="1" ht="42" customHeight="1">
      <c r="A582" s="5">
        <v>0</v>
      </c>
      <c r="B582" s="6" t="s">
        <v>3614</v>
      </c>
      <c r="C582" s="7">
        <v>2100</v>
      </c>
      <c r="D582" s="8" t="s">
        <v>3615</v>
      </c>
      <c r="E582" s="8" t="s">
        <v>3616</v>
      </c>
      <c r="F582" s="8" t="s">
        <v>2735</v>
      </c>
      <c r="G582" s="6" t="s">
        <v>81</v>
      </c>
      <c r="H582" s="6" t="s">
        <v>39</v>
      </c>
      <c r="I582" s="8" t="s">
        <v>40</v>
      </c>
      <c r="J582" s="9">
        <v>1</v>
      </c>
      <c r="K582" s="9">
        <v>336</v>
      </c>
      <c r="L582" s="9">
        <v>2026</v>
      </c>
      <c r="M582" s="8" t="s">
        <v>3617</v>
      </c>
      <c r="N582" s="8" t="s">
        <v>229</v>
      </c>
      <c r="O582" s="8" t="s">
        <v>230</v>
      </c>
      <c r="P582" s="6" t="s">
        <v>44</v>
      </c>
      <c r="Q582" s="8" t="s">
        <v>45</v>
      </c>
      <c r="R582" s="10" t="s">
        <v>3618</v>
      </c>
      <c r="S582" s="11"/>
      <c r="T582" s="6"/>
      <c r="U582" s="24" t="str">
        <f>HYPERLINK("https://media.infra-m.ru/2215/2215343/cover/2215343.jpg", "Обложка")</f>
        <v>Обложка</v>
      </c>
      <c r="V582" s="24" t="str">
        <f>HYPERLINK("https://znanium.ru/catalog/product/2215343", "Ознакомиться")</f>
        <v>Ознакомиться</v>
      </c>
      <c r="W582" s="8" t="s">
        <v>2738</v>
      </c>
      <c r="X582" s="6"/>
      <c r="Y582" s="6"/>
      <c r="Z582" s="6"/>
      <c r="AA582" s="6" t="s">
        <v>58</v>
      </c>
      <c r="AB582" s="8"/>
    </row>
    <row r="583" spans="1:28" s="4" customFormat="1" ht="44.1" customHeight="1">
      <c r="A583" s="5">
        <v>0</v>
      </c>
      <c r="B583" s="6" t="s">
        <v>3619</v>
      </c>
      <c r="C583" s="7">
        <v>1505.9</v>
      </c>
      <c r="D583" s="8" t="s">
        <v>3620</v>
      </c>
      <c r="E583" s="8" t="s">
        <v>3621</v>
      </c>
      <c r="F583" s="8" t="s">
        <v>3622</v>
      </c>
      <c r="G583" s="6" t="s">
        <v>38</v>
      </c>
      <c r="H583" s="6" t="s">
        <v>39</v>
      </c>
      <c r="I583" s="8" t="s">
        <v>40</v>
      </c>
      <c r="J583" s="9">
        <v>1</v>
      </c>
      <c r="K583" s="9">
        <v>299</v>
      </c>
      <c r="L583" s="9">
        <v>2022</v>
      </c>
      <c r="M583" s="8" t="s">
        <v>3623</v>
      </c>
      <c r="N583" s="8" t="s">
        <v>42</v>
      </c>
      <c r="O583" s="8" t="s">
        <v>65</v>
      </c>
      <c r="P583" s="6" t="s">
        <v>44</v>
      </c>
      <c r="Q583" s="8" t="s">
        <v>45</v>
      </c>
      <c r="R583" s="10" t="s">
        <v>3624</v>
      </c>
      <c r="S583" s="11"/>
      <c r="T583" s="6"/>
      <c r="U583" s="24" t="str">
        <f>HYPERLINK("https://media.infra-m.ru/1864/1864885/cover/1864885.jpg", "Обложка")</f>
        <v>Обложка</v>
      </c>
      <c r="V583" s="24" t="str">
        <f>HYPERLINK("https://znanium.ru/catalog/product/1086386", "Ознакомиться")</f>
        <v>Ознакомиться</v>
      </c>
      <c r="W583" s="8" t="s">
        <v>1362</v>
      </c>
      <c r="X583" s="6"/>
      <c r="Y583" s="6"/>
      <c r="Z583" s="6"/>
      <c r="AA583" s="6" t="s">
        <v>168</v>
      </c>
      <c r="AB583" s="8"/>
    </row>
    <row r="584" spans="1:28" s="4" customFormat="1" ht="51.95" customHeight="1">
      <c r="A584" s="5">
        <v>0</v>
      </c>
      <c r="B584" s="6" t="s">
        <v>3625</v>
      </c>
      <c r="C584" s="13">
        <v>532.79999999999995</v>
      </c>
      <c r="D584" s="8" t="s">
        <v>3626</v>
      </c>
      <c r="E584" s="8" t="s">
        <v>3627</v>
      </c>
      <c r="F584" s="8" t="s">
        <v>3628</v>
      </c>
      <c r="G584" s="6" t="s">
        <v>38</v>
      </c>
      <c r="H584" s="6" t="s">
        <v>39</v>
      </c>
      <c r="I584" s="8" t="s">
        <v>40</v>
      </c>
      <c r="J584" s="9">
        <v>1</v>
      </c>
      <c r="K584" s="9">
        <v>92</v>
      </c>
      <c r="L584" s="9">
        <v>2023</v>
      </c>
      <c r="M584" s="8" t="s">
        <v>3629</v>
      </c>
      <c r="N584" s="8" t="s">
        <v>42</v>
      </c>
      <c r="O584" s="8" t="s">
        <v>189</v>
      </c>
      <c r="P584" s="6" t="s">
        <v>44</v>
      </c>
      <c r="Q584" s="8" t="s">
        <v>45</v>
      </c>
      <c r="R584" s="10" t="s">
        <v>3630</v>
      </c>
      <c r="S584" s="11"/>
      <c r="T584" s="6"/>
      <c r="U584" s="24" t="str">
        <f>HYPERLINK("https://media.infra-m.ru/2006/2006088/cover/2006088.jpg", "Обложка")</f>
        <v>Обложка</v>
      </c>
      <c r="V584" s="24" t="str">
        <f>HYPERLINK("https://znanium.ru/catalog/product/989767", "Ознакомиться")</f>
        <v>Ознакомиться</v>
      </c>
      <c r="W584" s="8" t="s">
        <v>3631</v>
      </c>
      <c r="X584" s="6"/>
      <c r="Y584" s="6"/>
      <c r="Z584" s="6"/>
      <c r="AA584" s="6" t="s">
        <v>369</v>
      </c>
      <c r="AB584" s="8"/>
    </row>
    <row r="585" spans="1:28" s="4" customFormat="1" ht="51.95" customHeight="1">
      <c r="A585" s="5">
        <v>0</v>
      </c>
      <c r="B585" s="6" t="s">
        <v>3632</v>
      </c>
      <c r="C585" s="13">
        <v>660</v>
      </c>
      <c r="D585" s="8" t="s">
        <v>3633</v>
      </c>
      <c r="E585" s="8" t="s">
        <v>3634</v>
      </c>
      <c r="F585" s="8" t="s">
        <v>3635</v>
      </c>
      <c r="G585" s="6" t="s">
        <v>38</v>
      </c>
      <c r="H585" s="6" t="s">
        <v>39</v>
      </c>
      <c r="I585" s="8" t="s">
        <v>40</v>
      </c>
      <c r="J585" s="9">
        <v>1</v>
      </c>
      <c r="K585" s="9">
        <v>118</v>
      </c>
      <c r="L585" s="9">
        <v>2024</v>
      </c>
      <c r="M585" s="8" t="s">
        <v>3636</v>
      </c>
      <c r="N585" s="8" t="s">
        <v>42</v>
      </c>
      <c r="O585" s="8" t="s">
        <v>246</v>
      </c>
      <c r="P585" s="6" t="s">
        <v>44</v>
      </c>
      <c r="Q585" s="8" t="s">
        <v>45</v>
      </c>
      <c r="R585" s="10" t="s">
        <v>3637</v>
      </c>
      <c r="S585" s="11"/>
      <c r="T585" s="6"/>
      <c r="U585" s="24" t="str">
        <f>HYPERLINK("https://media.infra-m.ru/2106/2106195/cover/2106195.jpg", "Обложка")</f>
        <v>Обложка</v>
      </c>
      <c r="V585" s="24" t="str">
        <f>HYPERLINK("https://znanium.ru/catalog/product/2106195", "Ознакомиться")</f>
        <v>Ознакомиться</v>
      </c>
      <c r="W585" s="8" t="s">
        <v>516</v>
      </c>
      <c r="X585" s="6"/>
      <c r="Y585" s="6"/>
      <c r="Z585" s="6"/>
      <c r="AA585" s="6" t="s">
        <v>68</v>
      </c>
      <c r="AB585" s="8"/>
    </row>
    <row r="586" spans="1:28" s="4" customFormat="1" ht="44.1" customHeight="1">
      <c r="A586" s="5">
        <v>0</v>
      </c>
      <c r="B586" s="6" t="s">
        <v>3638</v>
      </c>
      <c r="C586" s="13">
        <v>616.79999999999995</v>
      </c>
      <c r="D586" s="8" t="s">
        <v>3639</v>
      </c>
      <c r="E586" s="8" t="s">
        <v>3640</v>
      </c>
      <c r="F586" s="8" t="s">
        <v>3641</v>
      </c>
      <c r="G586" s="6" t="s">
        <v>38</v>
      </c>
      <c r="H586" s="6" t="s">
        <v>182</v>
      </c>
      <c r="I586" s="8" t="s">
        <v>40</v>
      </c>
      <c r="J586" s="9">
        <v>1</v>
      </c>
      <c r="K586" s="9">
        <v>88</v>
      </c>
      <c r="L586" s="9">
        <v>2026</v>
      </c>
      <c r="M586" s="8" t="s">
        <v>3642</v>
      </c>
      <c r="N586" s="8" t="s">
        <v>284</v>
      </c>
      <c r="O586" s="8" t="s">
        <v>285</v>
      </c>
      <c r="P586" s="6" t="s">
        <v>44</v>
      </c>
      <c r="Q586" s="8" t="s">
        <v>1152</v>
      </c>
      <c r="R586" s="10" t="s">
        <v>3643</v>
      </c>
      <c r="S586" s="11"/>
      <c r="T586" s="6"/>
      <c r="U586" s="24" t="str">
        <f>HYPERLINK("https://media.infra-m.ru/2185/2185358/cover/2185358.jpg", "Обложка")</f>
        <v>Обложка</v>
      </c>
      <c r="V586" s="24" t="str">
        <f>HYPERLINK("https://znanium.ru/catalog/product/1062705", "Ознакомиться")</f>
        <v>Ознакомиться</v>
      </c>
      <c r="W586" s="8" t="s">
        <v>3644</v>
      </c>
      <c r="X586" s="6"/>
      <c r="Y586" s="6"/>
      <c r="Z586" s="6"/>
      <c r="AA586" s="6" t="s">
        <v>339</v>
      </c>
      <c r="AB586" s="8"/>
    </row>
    <row r="587" spans="1:28" s="4" customFormat="1" ht="51.95" customHeight="1">
      <c r="A587" s="5">
        <v>0</v>
      </c>
      <c r="B587" s="6" t="s">
        <v>3645</v>
      </c>
      <c r="C587" s="7">
        <v>1480.8</v>
      </c>
      <c r="D587" s="8" t="s">
        <v>3646</v>
      </c>
      <c r="E587" s="8" t="s">
        <v>3647</v>
      </c>
      <c r="F587" s="8" t="s">
        <v>3648</v>
      </c>
      <c r="G587" s="6" t="s">
        <v>38</v>
      </c>
      <c r="H587" s="6" t="s">
        <v>571</v>
      </c>
      <c r="I587" s="8"/>
      <c r="J587" s="9">
        <v>1</v>
      </c>
      <c r="K587" s="9">
        <v>224</v>
      </c>
      <c r="L587" s="9">
        <v>2026</v>
      </c>
      <c r="M587" s="8" t="s">
        <v>3649</v>
      </c>
      <c r="N587" s="8" t="s">
        <v>42</v>
      </c>
      <c r="O587" s="8" t="s">
        <v>246</v>
      </c>
      <c r="P587" s="6" t="s">
        <v>44</v>
      </c>
      <c r="Q587" s="8" t="s">
        <v>45</v>
      </c>
      <c r="R587" s="10" t="s">
        <v>3650</v>
      </c>
      <c r="S587" s="11"/>
      <c r="T587" s="6"/>
      <c r="U587" s="24" t="str">
        <f>HYPERLINK("https://media.infra-m.ru/2227/2227860/cover/2227860.jpg", "Обложка")</f>
        <v>Обложка</v>
      </c>
      <c r="V587" s="24" t="str">
        <f>HYPERLINK("https://znanium.ru/catalog/product/1216885", "Ознакомиться")</f>
        <v>Ознакомиться</v>
      </c>
      <c r="W587" s="8" t="s">
        <v>1211</v>
      </c>
      <c r="X587" s="6"/>
      <c r="Y587" s="6"/>
      <c r="Z587" s="6"/>
      <c r="AA587" s="6" t="s">
        <v>127</v>
      </c>
      <c r="AB587" s="8"/>
    </row>
    <row r="588" spans="1:28" s="4" customFormat="1" ht="51.95" customHeight="1">
      <c r="A588" s="5">
        <v>0</v>
      </c>
      <c r="B588" s="6" t="s">
        <v>3651</v>
      </c>
      <c r="C588" s="7">
        <v>3888</v>
      </c>
      <c r="D588" s="8" t="s">
        <v>3652</v>
      </c>
      <c r="E588" s="8" t="s">
        <v>3653</v>
      </c>
      <c r="F588" s="8" t="s">
        <v>3654</v>
      </c>
      <c r="G588" s="6" t="s">
        <v>132</v>
      </c>
      <c r="H588" s="6" t="s">
        <v>39</v>
      </c>
      <c r="I588" s="8" t="s">
        <v>40</v>
      </c>
      <c r="J588" s="9">
        <v>1</v>
      </c>
      <c r="K588" s="9">
        <v>624</v>
      </c>
      <c r="L588" s="9">
        <v>2026</v>
      </c>
      <c r="M588" s="8" t="s">
        <v>3655</v>
      </c>
      <c r="N588" s="8" t="s">
        <v>42</v>
      </c>
      <c r="O588" s="8" t="s">
        <v>246</v>
      </c>
      <c r="P588" s="6" t="s">
        <v>44</v>
      </c>
      <c r="Q588" s="8" t="s">
        <v>45</v>
      </c>
      <c r="R588" s="10" t="s">
        <v>3656</v>
      </c>
      <c r="S588" s="11"/>
      <c r="T588" s="6"/>
      <c r="U588" s="24" t="str">
        <f>HYPERLINK("https://media.infra-m.ru/2215/2215527/cover/2215527.jpg", "Обложка")</f>
        <v>Обложка</v>
      </c>
      <c r="V588" s="24" t="str">
        <f>HYPERLINK("https://znanium.ru/catalog/product/2215527", "Ознакомиться")</f>
        <v>Ознакомиться</v>
      </c>
      <c r="W588" s="8" t="s">
        <v>207</v>
      </c>
      <c r="X588" s="6"/>
      <c r="Y588" s="6"/>
      <c r="Z588" s="6"/>
      <c r="AA588" s="6" t="s">
        <v>241</v>
      </c>
      <c r="AB588" s="8"/>
    </row>
    <row r="589" spans="1:28" s="4" customFormat="1" ht="42" customHeight="1">
      <c r="A589" s="5">
        <v>0</v>
      </c>
      <c r="B589" s="6" t="s">
        <v>3657</v>
      </c>
      <c r="C589" s="7">
        <v>1512</v>
      </c>
      <c r="D589" s="8" t="s">
        <v>3658</v>
      </c>
      <c r="E589" s="8" t="s">
        <v>3659</v>
      </c>
      <c r="F589" s="8" t="s">
        <v>3660</v>
      </c>
      <c r="G589" s="6" t="s">
        <v>38</v>
      </c>
      <c r="H589" s="6" t="s">
        <v>39</v>
      </c>
      <c r="I589" s="8"/>
      <c r="J589" s="9">
        <v>1</v>
      </c>
      <c r="K589" s="9">
        <v>268</v>
      </c>
      <c r="L589" s="9">
        <v>2024</v>
      </c>
      <c r="M589" s="8" t="s">
        <v>3661</v>
      </c>
      <c r="N589" s="8" t="s">
        <v>42</v>
      </c>
      <c r="O589" s="8" t="s">
        <v>189</v>
      </c>
      <c r="P589" s="6" t="s">
        <v>44</v>
      </c>
      <c r="Q589" s="8" t="s">
        <v>45</v>
      </c>
      <c r="R589" s="10" t="s">
        <v>3662</v>
      </c>
      <c r="S589" s="11"/>
      <c r="T589" s="6"/>
      <c r="U589" s="24" t="str">
        <f>HYPERLINK("https://media.infra-m.ru/2113/2113843/cover/2113843.jpg", "Обложка")</f>
        <v>Обложка</v>
      </c>
      <c r="V589" s="24" t="str">
        <f>HYPERLINK("https://znanium.ru/catalog/product/2113843", "Ознакомиться")</f>
        <v>Ознакомиться</v>
      </c>
      <c r="W589" s="8" t="s">
        <v>3663</v>
      </c>
      <c r="X589" s="6"/>
      <c r="Y589" s="6"/>
      <c r="Z589" s="6"/>
      <c r="AA589" s="6" t="s">
        <v>68</v>
      </c>
      <c r="AB589" s="8"/>
    </row>
    <row r="590" spans="1:28" s="4" customFormat="1" ht="51.95" customHeight="1">
      <c r="A590" s="5">
        <v>0</v>
      </c>
      <c r="B590" s="6" t="s">
        <v>3664</v>
      </c>
      <c r="C590" s="7">
        <v>1084.8</v>
      </c>
      <c r="D590" s="8" t="s">
        <v>3665</v>
      </c>
      <c r="E590" s="8" t="s">
        <v>3666</v>
      </c>
      <c r="F590" s="8" t="s">
        <v>3667</v>
      </c>
      <c r="G590" s="6" t="s">
        <v>81</v>
      </c>
      <c r="H590" s="6" t="s">
        <v>39</v>
      </c>
      <c r="I590" s="8" t="s">
        <v>40</v>
      </c>
      <c r="J590" s="9">
        <v>1</v>
      </c>
      <c r="K590" s="9">
        <v>165</v>
      </c>
      <c r="L590" s="9">
        <v>2026</v>
      </c>
      <c r="M590" s="8" t="s">
        <v>3668</v>
      </c>
      <c r="N590" s="8" t="s">
        <v>229</v>
      </c>
      <c r="O590" s="8" t="s">
        <v>230</v>
      </c>
      <c r="P590" s="6" t="s">
        <v>44</v>
      </c>
      <c r="Q590" s="8" t="s">
        <v>45</v>
      </c>
      <c r="R590" s="10" t="s">
        <v>3669</v>
      </c>
      <c r="S590" s="11"/>
      <c r="T590" s="6"/>
      <c r="U590" s="24" t="str">
        <f>HYPERLINK("https://media.infra-m.ru/2216/2216858/cover/2216858.jpg", "Обложка")</f>
        <v>Обложка</v>
      </c>
      <c r="V590" s="24" t="str">
        <f>HYPERLINK("https://znanium.ru/catalog/product/2215347", "Ознакомиться")</f>
        <v>Ознакомиться</v>
      </c>
      <c r="W590" s="8" t="s">
        <v>491</v>
      </c>
      <c r="X590" s="6"/>
      <c r="Y590" s="6"/>
      <c r="Z590" s="6"/>
      <c r="AA590" s="6" t="s">
        <v>369</v>
      </c>
      <c r="AB590" s="8"/>
    </row>
    <row r="591" spans="1:28" s="4" customFormat="1" ht="42" customHeight="1">
      <c r="A591" s="5">
        <v>0</v>
      </c>
      <c r="B591" s="6" t="s">
        <v>3670</v>
      </c>
      <c r="C591" s="7">
        <v>1476</v>
      </c>
      <c r="D591" s="8" t="s">
        <v>3671</v>
      </c>
      <c r="E591" s="8" t="s">
        <v>3672</v>
      </c>
      <c r="F591" s="8" t="s">
        <v>3673</v>
      </c>
      <c r="G591" s="6" t="s">
        <v>132</v>
      </c>
      <c r="H591" s="6" t="s">
        <v>39</v>
      </c>
      <c r="I591" s="8" t="s">
        <v>40</v>
      </c>
      <c r="J591" s="9">
        <v>1</v>
      </c>
      <c r="K591" s="9">
        <v>216</v>
      </c>
      <c r="L591" s="9">
        <v>2025</v>
      </c>
      <c r="M591" s="8" t="s">
        <v>3674</v>
      </c>
      <c r="N591" s="8" t="s">
        <v>42</v>
      </c>
      <c r="O591" s="8" t="s">
        <v>101</v>
      </c>
      <c r="P591" s="6" t="s">
        <v>44</v>
      </c>
      <c r="Q591" s="8" t="s">
        <v>45</v>
      </c>
      <c r="R591" s="10" t="s">
        <v>632</v>
      </c>
      <c r="S591" s="11"/>
      <c r="T591" s="6"/>
      <c r="U591" s="24" t="str">
        <f>HYPERLINK("https://media.infra-m.ru/2186/2186797/cover/2186797.jpg", "Обложка")</f>
        <v>Обложка</v>
      </c>
      <c r="V591" s="24" t="str">
        <f>HYPERLINK("https://znanium.ru/catalog/product/2186797", "Ознакомиться")</f>
        <v>Ознакомиться</v>
      </c>
      <c r="W591" s="8" t="s">
        <v>3675</v>
      </c>
      <c r="X591" s="6" t="s">
        <v>450</v>
      </c>
      <c r="Y591" s="6"/>
      <c r="Z591" s="6"/>
      <c r="AA591" s="6" t="s">
        <v>159</v>
      </c>
      <c r="AB591" s="8"/>
    </row>
    <row r="592" spans="1:28" s="4" customFormat="1" ht="42" customHeight="1">
      <c r="A592" s="5">
        <v>0</v>
      </c>
      <c r="B592" s="6" t="s">
        <v>3676</v>
      </c>
      <c r="C592" s="13">
        <v>696</v>
      </c>
      <c r="D592" s="8" t="s">
        <v>3677</v>
      </c>
      <c r="E592" s="8" t="s">
        <v>3678</v>
      </c>
      <c r="F592" s="8" t="s">
        <v>3679</v>
      </c>
      <c r="G592" s="6" t="s">
        <v>81</v>
      </c>
      <c r="H592" s="6" t="s">
        <v>39</v>
      </c>
      <c r="I592" s="8" t="s">
        <v>40</v>
      </c>
      <c r="J592" s="9">
        <v>1</v>
      </c>
      <c r="K592" s="9">
        <v>152</v>
      </c>
      <c r="L592" s="9">
        <v>2022</v>
      </c>
      <c r="M592" s="8" t="s">
        <v>3680</v>
      </c>
      <c r="N592" s="8" t="s">
        <v>42</v>
      </c>
      <c r="O592" s="8" t="s">
        <v>101</v>
      </c>
      <c r="P592" s="6" t="s">
        <v>44</v>
      </c>
      <c r="Q592" s="8" t="s">
        <v>45</v>
      </c>
      <c r="R592" s="10" t="s">
        <v>3681</v>
      </c>
      <c r="S592" s="11"/>
      <c r="T592" s="6"/>
      <c r="U592" s="24" t="str">
        <f>HYPERLINK("https://media.infra-m.ru/1843/1843182/cover/1843182.jpg", "Обложка")</f>
        <v>Обложка</v>
      </c>
      <c r="V592" s="24" t="str">
        <f>HYPERLINK("https://znanium.ru/catalog/product/1843182", "Ознакомиться")</f>
        <v>Ознакомиться</v>
      </c>
      <c r="W592" s="8"/>
      <c r="X592" s="6"/>
      <c r="Y592" s="6"/>
      <c r="Z592" s="6"/>
      <c r="AA592" s="6" t="s">
        <v>68</v>
      </c>
      <c r="AB592" s="8"/>
    </row>
    <row r="593" spans="1:28" s="4" customFormat="1" ht="42" customHeight="1">
      <c r="A593" s="5">
        <v>0</v>
      </c>
      <c r="B593" s="6" t="s">
        <v>3682</v>
      </c>
      <c r="C593" s="13">
        <v>996</v>
      </c>
      <c r="D593" s="8" t="s">
        <v>3683</v>
      </c>
      <c r="E593" s="8" t="s">
        <v>3684</v>
      </c>
      <c r="F593" s="8" t="s">
        <v>3685</v>
      </c>
      <c r="G593" s="6" t="s">
        <v>38</v>
      </c>
      <c r="H593" s="6" t="s">
        <v>39</v>
      </c>
      <c r="I593" s="8" t="s">
        <v>40</v>
      </c>
      <c r="J593" s="9">
        <v>1</v>
      </c>
      <c r="K593" s="9">
        <v>168</v>
      </c>
      <c r="L593" s="9">
        <v>2024</v>
      </c>
      <c r="M593" s="8" t="s">
        <v>3686</v>
      </c>
      <c r="N593" s="8" t="s">
        <v>42</v>
      </c>
      <c r="O593" s="8" t="s">
        <v>246</v>
      </c>
      <c r="P593" s="6" t="s">
        <v>44</v>
      </c>
      <c r="Q593" s="8" t="s">
        <v>45</v>
      </c>
      <c r="R593" s="10" t="s">
        <v>1100</v>
      </c>
      <c r="S593" s="11"/>
      <c r="T593" s="6"/>
      <c r="U593" s="24" t="str">
        <f>HYPERLINK("https://media.infra-m.ru/2084/2084040/cover/2084040.jpg", "Обложка")</f>
        <v>Обложка</v>
      </c>
      <c r="V593" s="24" t="str">
        <f>HYPERLINK("https://znanium.ru/catalog/product/2084040", "Ознакомиться")</f>
        <v>Ознакомиться</v>
      </c>
      <c r="W593" s="8" t="s">
        <v>3687</v>
      </c>
      <c r="X593" s="6"/>
      <c r="Y593" s="6"/>
      <c r="Z593" s="6"/>
      <c r="AA593" s="6" t="s">
        <v>58</v>
      </c>
      <c r="AB593" s="8"/>
    </row>
    <row r="594" spans="1:28" s="4" customFormat="1" ht="51.95" customHeight="1">
      <c r="A594" s="5">
        <v>0</v>
      </c>
      <c r="B594" s="6" t="s">
        <v>3688</v>
      </c>
      <c r="C594" s="7">
        <v>1468.8</v>
      </c>
      <c r="D594" s="8" t="s">
        <v>3689</v>
      </c>
      <c r="E594" s="8" t="s">
        <v>3690</v>
      </c>
      <c r="F594" s="8" t="s">
        <v>3691</v>
      </c>
      <c r="G594" s="6" t="s">
        <v>38</v>
      </c>
      <c r="H594" s="6" t="s">
        <v>1334</v>
      </c>
      <c r="I594" s="8"/>
      <c r="J594" s="9">
        <v>1</v>
      </c>
      <c r="K594" s="9">
        <v>272</v>
      </c>
      <c r="L594" s="9">
        <v>2023</v>
      </c>
      <c r="M594" s="8" t="s">
        <v>3692</v>
      </c>
      <c r="N594" s="8" t="s">
        <v>42</v>
      </c>
      <c r="O594" s="8" t="s">
        <v>1035</v>
      </c>
      <c r="P594" s="6" t="s">
        <v>44</v>
      </c>
      <c r="Q594" s="8" t="s">
        <v>45</v>
      </c>
      <c r="R594" s="10" t="s">
        <v>3693</v>
      </c>
      <c r="S594" s="11"/>
      <c r="T594" s="6"/>
      <c r="U594" s="24" t="str">
        <f>HYPERLINK("https://media.infra-m.ru/1855/1855796/cover/1855796.jpg", "Обложка")</f>
        <v>Обложка</v>
      </c>
      <c r="V594" s="24" t="str">
        <f>HYPERLINK("https://znanium.ru/catalog/product/1084332", "Ознакомиться")</f>
        <v>Ознакомиться</v>
      </c>
      <c r="W594" s="8" t="s">
        <v>207</v>
      </c>
      <c r="X594" s="6"/>
      <c r="Y594" s="6"/>
      <c r="Z594" s="6"/>
      <c r="AA594" s="6" t="s">
        <v>2288</v>
      </c>
      <c r="AB594" s="8"/>
    </row>
    <row r="595" spans="1:28" s="4" customFormat="1" ht="51.95" customHeight="1">
      <c r="A595" s="5">
        <v>0</v>
      </c>
      <c r="B595" s="6" t="s">
        <v>3694</v>
      </c>
      <c r="C595" s="7">
        <v>1108.8</v>
      </c>
      <c r="D595" s="8" t="s">
        <v>3695</v>
      </c>
      <c r="E595" s="8" t="s">
        <v>3696</v>
      </c>
      <c r="F595" s="8" t="s">
        <v>617</v>
      </c>
      <c r="G595" s="6" t="s">
        <v>38</v>
      </c>
      <c r="H595" s="6" t="s">
        <v>39</v>
      </c>
      <c r="I595" s="8" t="s">
        <v>40</v>
      </c>
      <c r="J595" s="9">
        <v>1</v>
      </c>
      <c r="K595" s="9">
        <v>183</v>
      </c>
      <c r="L595" s="9">
        <v>2025</v>
      </c>
      <c r="M595" s="8" t="s">
        <v>3697</v>
      </c>
      <c r="N595" s="8" t="s">
        <v>42</v>
      </c>
      <c r="O595" s="8" t="s">
        <v>101</v>
      </c>
      <c r="P595" s="6" t="s">
        <v>44</v>
      </c>
      <c r="Q595" s="8" t="s">
        <v>45</v>
      </c>
      <c r="R595" s="10" t="s">
        <v>3698</v>
      </c>
      <c r="S595" s="11"/>
      <c r="T595" s="6"/>
      <c r="U595" s="24" t="str">
        <f>HYPERLINK("https://media.infra-m.ru/2186/2186961/cover/2186961.jpg", "Обложка")</f>
        <v>Обложка</v>
      </c>
      <c r="V595" s="24" t="str">
        <f>HYPERLINK("https://znanium.ru/catalog/product/1918597", "Ознакомиться")</f>
        <v>Ознакомиться</v>
      </c>
      <c r="W595" s="8" t="s">
        <v>314</v>
      </c>
      <c r="X595" s="6"/>
      <c r="Y595" s="6"/>
      <c r="Z595" s="6"/>
      <c r="AA595" s="6" t="s">
        <v>111</v>
      </c>
      <c r="AB595" s="8"/>
    </row>
    <row r="596" spans="1:28" s="4" customFormat="1" ht="44.1" customHeight="1">
      <c r="A596" s="5">
        <v>0</v>
      </c>
      <c r="B596" s="6" t="s">
        <v>3699</v>
      </c>
      <c r="C596" s="7">
        <v>1300.8</v>
      </c>
      <c r="D596" s="8" t="s">
        <v>3700</v>
      </c>
      <c r="E596" s="8" t="s">
        <v>3701</v>
      </c>
      <c r="F596" s="8" t="s">
        <v>3702</v>
      </c>
      <c r="G596" s="6" t="s">
        <v>38</v>
      </c>
      <c r="H596" s="6" t="s">
        <v>99</v>
      </c>
      <c r="I596" s="8"/>
      <c r="J596" s="9">
        <v>1</v>
      </c>
      <c r="K596" s="9">
        <v>208</v>
      </c>
      <c r="L596" s="9">
        <v>2025</v>
      </c>
      <c r="M596" s="8" t="s">
        <v>3703</v>
      </c>
      <c r="N596" s="8" t="s">
        <v>42</v>
      </c>
      <c r="O596" s="8" t="s">
        <v>101</v>
      </c>
      <c r="P596" s="6" t="s">
        <v>44</v>
      </c>
      <c r="Q596" s="8" t="s">
        <v>1152</v>
      </c>
      <c r="R596" s="10" t="s">
        <v>1765</v>
      </c>
      <c r="S596" s="11"/>
      <c r="T596" s="6"/>
      <c r="U596" s="24" t="str">
        <f>HYPERLINK("https://media.infra-m.ru/2192/2192459/cover/2192459.jpg", "Обложка")</f>
        <v>Обложка</v>
      </c>
      <c r="V596" s="24" t="str">
        <f>HYPERLINK("https://znanium.ru/catalog/product/2038317", "Ознакомиться")</f>
        <v>Ознакомиться</v>
      </c>
      <c r="W596" s="8" t="s">
        <v>3704</v>
      </c>
      <c r="X596" s="6"/>
      <c r="Y596" s="6"/>
      <c r="Z596" s="6"/>
      <c r="AA596" s="6" t="s">
        <v>339</v>
      </c>
      <c r="AB596" s="8"/>
    </row>
    <row r="597" spans="1:28" s="4" customFormat="1" ht="42" customHeight="1">
      <c r="A597" s="5">
        <v>0</v>
      </c>
      <c r="B597" s="6" t="s">
        <v>3705</v>
      </c>
      <c r="C597" s="7">
        <v>1296</v>
      </c>
      <c r="D597" s="8" t="s">
        <v>3706</v>
      </c>
      <c r="E597" s="8" t="s">
        <v>3707</v>
      </c>
      <c r="F597" s="8" t="s">
        <v>3708</v>
      </c>
      <c r="G597" s="6" t="s">
        <v>38</v>
      </c>
      <c r="H597" s="6" t="s">
        <v>182</v>
      </c>
      <c r="I597" s="8" t="s">
        <v>40</v>
      </c>
      <c r="J597" s="9">
        <v>1</v>
      </c>
      <c r="K597" s="9">
        <v>230</v>
      </c>
      <c r="L597" s="9">
        <v>2024</v>
      </c>
      <c r="M597" s="8" t="s">
        <v>3709</v>
      </c>
      <c r="N597" s="8" t="s">
        <v>42</v>
      </c>
      <c r="O597" s="8" t="s">
        <v>101</v>
      </c>
      <c r="P597" s="6" t="s">
        <v>44</v>
      </c>
      <c r="Q597" s="8" t="s">
        <v>45</v>
      </c>
      <c r="R597" s="10" t="s">
        <v>269</v>
      </c>
      <c r="S597" s="11"/>
      <c r="T597" s="6"/>
      <c r="U597" s="24" t="str">
        <f>HYPERLINK("https://media.infra-m.ru/2140/2140863/cover/2140863.jpg", "Обложка")</f>
        <v>Обложка</v>
      </c>
      <c r="V597" s="12"/>
      <c r="W597" s="8" t="s">
        <v>686</v>
      </c>
      <c r="X597" s="6"/>
      <c r="Y597" s="6"/>
      <c r="Z597" s="6"/>
      <c r="AA597" s="6" t="s">
        <v>76</v>
      </c>
      <c r="AB597" s="8"/>
    </row>
    <row r="598" spans="1:28" s="4" customFormat="1" ht="42" customHeight="1">
      <c r="A598" s="5">
        <v>0</v>
      </c>
      <c r="B598" s="6" t="s">
        <v>3710</v>
      </c>
      <c r="C598" s="13">
        <v>660</v>
      </c>
      <c r="D598" s="8" t="s">
        <v>3711</v>
      </c>
      <c r="E598" s="8" t="s">
        <v>3712</v>
      </c>
      <c r="F598" s="8" t="s">
        <v>3713</v>
      </c>
      <c r="G598" s="6" t="s">
        <v>38</v>
      </c>
      <c r="H598" s="6" t="s">
        <v>39</v>
      </c>
      <c r="I598" s="8" t="s">
        <v>40</v>
      </c>
      <c r="J598" s="9">
        <v>1</v>
      </c>
      <c r="K598" s="9">
        <v>114</v>
      </c>
      <c r="L598" s="9">
        <v>2024</v>
      </c>
      <c r="M598" s="8" t="s">
        <v>3714</v>
      </c>
      <c r="N598" s="8" t="s">
        <v>42</v>
      </c>
      <c r="O598" s="8" t="s">
        <v>189</v>
      </c>
      <c r="P598" s="6" t="s">
        <v>44</v>
      </c>
      <c r="Q598" s="8" t="s">
        <v>45</v>
      </c>
      <c r="R598" s="10" t="s">
        <v>2503</v>
      </c>
      <c r="S598" s="11"/>
      <c r="T598" s="6"/>
      <c r="U598" s="24" t="str">
        <f>HYPERLINK("https://media.infra-m.ru/2136/2136010/cover/2136010.jpg", "Обложка")</f>
        <v>Обложка</v>
      </c>
      <c r="V598" s="24" t="str">
        <f>HYPERLINK("https://znanium.ru/catalog/product/2136010", "Ознакомиться")</f>
        <v>Ознакомиться</v>
      </c>
      <c r="W598" s="8" t="s">
        <v>3715</v>
      </c>
      <c r="X598" s="6"/>
      <c r="Y598" s="6"/>
      <c r="Z598" s="6"/>
      <c r="AA598" s="6" t="s">
        <v>68</v>
      </c>
      <c r="AB598" s="8"/>
    </row>
    <row r="599" spans="1:28" s="4" customFormat="1" ht="51.95" customHeight="1">
      <c r="A599" s="5">
        <v>0</v>
      </c>
      <c r="B599" s="6" t="s">
        <v>3716</v>
      </c>
      <c r="C599" s="7">
        <v>1696.8</v>
      </c>
      <c r="D599" s="8" t="s">
        <v>3717</v>
      </c>
      <c r="E599" s="8" t="s">
        <v>3718</v>
      </c>
      <c r="F599" s="8" t="s">
        <v>3719</v>
      </c>
      <c r="G599" s="6" t="s">
        <v>132</v>
      </c>
      <c r="H599" s="6" t="s">
        <v>99</v>
      </c>
      <c r="I599" s="8"/>
      <c r="J599" s="9">
        <v>1</v>
      </c>
      <c r="K599" s="9">
        <v>272</v>
      </c>
      <c r="L599" s="9">
        <v>2025</v>
      </c>
      <c r="M599" s="8" t="s">
        <v>3720</v>
      </c>
      <c r="N599" s="8" t="s">
        <v>42</v>
      </c>
      <c r="O599" s="8" t="s">
        <v>101</v>
      </c>
      <c r="P599" s="6" t="s">
        <v>44</v>
      </c>
      <c r="Q599" s="8" t="s">
        <v>45</v>
      </c>
      <c r="R599" s="10" t="s">
        <v>3721</v>
      </c>
      <c r="S599" s="11"/>
      <c r="T599" s="6"/>
      <c r="U599" s="24" t="str">
        <f>HYPERLINK("https://media.infra-m.ru/2208/2208442/cover/2208442.jpg", "Обложка")</f>
        <v>Обложка</v>
      </c>
      <c r="V599" s="24" t="str">
        <f>HYPERLINK("https://znanium.ru/catalog/product/1938065", "Ознакомиться")</f>
        <v>Ознакомиться</v>
      </c>
      <c r="W599" s="8" t="s">
        <v>565</v>
      </c>
      <c r="X599" s="6"/>
      <c r="Y599" s="6"/>
      <c r="Z599" s="6"/>
      <c r="AA599" s="6" t="s">
        <v>168</v>
      </c>
      <c r="AB599" s="8"/>
    </row>
    <row r="600" spans="1:28" s="4" customFormat="1" ht="51.95" customHeight="1">
      <c r="A600" s="5">
        <v>0</v>
      </c>
      <c r="B600" s="6" t="s">
        <v>3722</v>
      </c>
      <c r="C600" s="7">
        <v>1152</v>
      </c>
      <c r="D600" s="8" t="s">
        <v>3723</v>
      </c>
      <c r="E600" s="8" t="s">
        <v>3724</v>
      </c>
      <c r="F600" s="8" t="s">
        <v>3725</v>
      </c>
      <c r="G600" s="6" t="s">
        <v>81</v>
      </c>
      <c r="H600" s="6" t="s">
        <v>39</v>
      </c>
      <c r="I600" s="8" t="s">
        <v>336</v>
      </c>
      <c r="J600" s="9">
        <v>1</v>
      </c>
      <c r="K600" s="9">
        <v>248</v>
      </c>
      <c r="L600" s="9">
        <v>2022</v>
      </c>
      <c r="M600" s="8" t="s">
        <v>3726</v>
      </c>
      <c r="N600" s="8" t="s">
        <v>42</v>
      </c>
      <c r="O600" s="8" t="s">
        <v>101</v>
      </c>
      <c r="P600" s="6" t="s">
        <v>44</v>
      </c>
      <c r="Q600" s="8" t="s">
        <v>45</v>
      </c>
      <c r="R600" s="10" t="s">
        <v>3727</v>
      </c>
      <c r="S600" s="11"/>
      <c r="T600" s="6"/>
      <c r="U600" s="24" t="str">
        <f>HYPERLINK("https://media.infra-m.ru/1859/1859025/cover/1859025.jpg", "Обложка")</f>
        <v>Обложка</v>
      </c>
      <c r="V600" s="24" t="str">
        <f>HYPERLINK("https://znanium.ru/catalog/product/1859025", "Ознакомиться")</f>
        <v>Ознакомиться</v>
      </c>
      <c r="W600" s="8" t="s">
        <v>103</v>
      </c>
      <c r="X600" s="6"/>
      <c r="Y600" s="6"/>
      <c r="Z600" s="6"/>
      <c r="AA600" s="6" t="s">
        <v>369</v>
      </c>
      <c r="AB600" s="8"/>
    </row>
    <row r="601" spans="1:28" s="4" customFormat="1" ht="42" customHeight="1">
      <c r="A601" s="5">
        <v>0</v>
      </c>
      <c r="B601" s="6" t="s">
        <v>3728</v>
      </c>
      <c r="C601" s="13">
        <v>720</v>
      </c>
      <c r="D601" s="8" t="s">
        <v>3729</v>
      </c>
      <c r="E601" s="8" t="s">
        <v>3730</v>
      </c>
      <c r="F601" s="8" t="s">
        <v>3731</v>
      </c>
      <c r="G601" s="6" t="s">
        <v>38</v>
      </c>
      <c r="H601" s="6" t="s">
        <v>39</v>
      </c>
      <c r="I601" s="8" t="s">
        <v>40</v>
      </c>
      <c r="J601" s="9">
        <v>1</v>
      </c>
      <c r="K601" s="9">
        <v>155</v>
      </c>
      <c r="L601" s="9">
        <v>2022</v>
      </c>
      <c r="M601" s="8" t="s">
        <v>3732</v>
      </c>
      <c r="N601" s="8" t="s">
        <v>42</v>
      </c>
      <c r="O601" s="8" t="s">
        <v>189</v>
      </c>
      <c r="P601" s="6" t="s">
        <v>44</v>
      </c>
      <c r="Q601" s="8" t="s">
        <v>45</v>
      </c>
      <c r="R601" s="10" t="s">
        <v>902</v>
      </c>
      <c r="S601" s="11"/>
      <c r="T601" s="6"/>
      <c r="U601" s="24" t="str">
        <f>HYPERLINK("https://media.infra-m.ru/1854/1854784/cover/1854784.jpg", "Обложка")</f>
        <v>Обложка</v>
      </c>
      <c r="V601" s="24" t="str">
        <f>HYPERLINK("https://znanium.ru/catalog/product/1854784", "Ознакомиться")</f>
        <v>Ознакомиться</v>
      </c>
      <c r="W601" s="8" t="s">
        <v>516</v>
      </c>
      <c r="X601" s="6"/>
      <c r="Y601" s="6"/>
      <c r="Z601" s="6"/>
      <c r="AA601" s="6" t="s">
        <v>377</v>
      </c>
      <c r="AB601" s="8"/>
    </row>
    <row r="602" spans="1:28" s="4" customFormat="1" ht="44.1" customHeight="1">
      <c r="A602" s="5">
        <v>0</v>
      </c>
      <c r="B602" s="6" t="s">
        <v>3733</v>
      </c>
      <c r="C602" s="7">
        <v>1433.9</v>
      </c>
      <c r="D602" s="8" t="s">
        <v>3734</v>
      </c>
      <c r="E602" s="8" t="s">
        <v>3735</v>
      </c>
      <c r="F602" s="8" t="s">
        <v>3736</v>
      </c>
      <c r="G602" s="6" t="s">
        <v>38</v>
      </c>
      <c r="H602" s="6" t="s">
        <v>39</v>
      </c>
      <c r="I602" s="8" t="s">
        <v>164</v>
      </c>
      <c r="J602" s="9">
        <v>1</v>
      </c>
      <c r="K602" s="9">
        <v>265</v>
      </c>
      <c r="L602" s="9">
        <v>2023</v>
      </c>
      <c r="M602" s="8" t="s">
        <v>3737</v>
      </c>
      <c r="N602" s="8" t="s">
        <v>42</v>
      </c>
      <c r="O602" s="8" t="s">
        <v>101</v>
      </c>
      <c r="P602" s="6" t="s">
        <v>44</v>
      </c>
      <c r="Q602" s="8" t="s">
        <v>45</v>
      </c>
      <c r="R602" s="10" t="s">
        <v>3738</v>
      </c>
      <c r="S602" s="11"/>
      <c r="T602" s="6"/>
      <c r="U602" s="24" t="str">
        <f>HYPERLINK("https://media.infra-m.ru/2045/2045906/cover/2045906.jpg", "Обложка")</f>
        <v>Обложка</v>
      </c>
      <c r="V602" s="24" t="str">
        <f>HYPERLINK("https://znanium.ru/catalog/product/1039414", "Ознакомиться")</f>
        <v>Ознакомиться</v>
      </c>
      <c r="W602" s="8" t="s">
        <v>167</v>
      </c>
      <c r="X602" s="6"/>
      <c r="Y602" s="6"/>
      <c r="Z602" s="6"/>
      <c r="AA602" s="6" t="s">
        <v>168</v>
      </c>
      <c r="AB602" s="8"/>
    </row>
    <row r="603" spans="1:28" s="4" customFormat="1" ht="51.95" customHeight="1">
      <c r="A603" s="5">
        <v>0</v>
      </c>
      <c r="B603" s="6" t="s">
        <v>3739</v>
      </c>
      <c r="C603" s="13">
        <v>600</v>
      </c>
      <c r="D603" s="8" t="s">
        <v>3740</v>
      </c>
      <c r="E603" s="8" t="s">
        <v>3741</v>
      </c>
      <c r="F603" s="8" t="s">
        <v>3742</v>
      </c>
      <c r="G603" s="6" t="s">
        <v>38</v>
      </c>
      <c r="H603" s="6" t="s">
        <v>39</v>
      </c>
      <c r="I603" s="8" t="s">
        <v>40</v>
      </c>
      <c r="J603" s="9">
        <v>1</v>
      </c>
      <c r="K603" s="9">
        <v>131</v>
      </c>
      <c r="L603" s="9">
        <v>2022</v>
      </c>
      <c r="M603" s="8" t="s">
        <v>3743</v>
      </c>
      <c r="N603" s="8" t="s">
        <v>42</v>
      </c>
      <c r="O603" s="8" t="s">
        <v>189</v>
      </c>
      <c r="P603" s="6" t="s">
        <v>44</v>
      </c>
      <c r="Q603" s="8" t="s">
        <v>45</v>
      </c>
      <c r="R603" s="10" t="s">
        <v>3744</v>
      </c>
      <c r="S603" s="11" t="s">
        <v>3745</v>
      </c>
      <c r="T603" s="6"/>
      <c r="U603" s="24" t="str">
        <f>HYPERLINK("https://media.infra-m.ru/1734/1734995/cover/1734995.jpg", "Обложка")</f>
        <v>Обложка</v>
      </c>
      <c r="V603" s="24" t="str">
        <f>HYPERLINK("https://znanium.ru/catalog/product/1734995", "Ознакомиться")</f>
        <v>Ознакомиться</v>
      </c>
      <c r="W603" s="8" t="s">
        <v>289</v>
      </c>
      <c r="X603" s="6"/>
      <c r="Y603" s="6"/>
      <c r="Z603" s="6"/>
      <c r="AA603" s="6" t="s">
        <v>377</v>
      </c>
      <c r="AB603" s="8"/>
    </row>
    <row r="604" spans="1:28" s="4" customFormat="1" ht="42" customHeight="1">
      <c r="A604" s="5">
        <v>0</v>
      </c>
      <c r="B604" s="6" t="s">
        <v>3746</v>
      </c>
      <c r="C604" s="13">
        <v>972</v>
      </c>
      <c r="D604" s="8" t="s">
        <v>3747</v>
      </c>
      <c r="E604" s="8" t="s">
        <v>3748</v>
      </c>
      <c r="F604" s="8" t="s">
        <v>3498</v>
      </c>
      <c r="G604" s="6" t="s">
        <v>38</v>
      </c>
      <c r="H604" s="6" t="s">
        <v>39</v>
      </c>
      <c r="I604" s="8" t="s">
        <v>40</v>
      </c>
      <c r="J604" s="9">
        <v>1</v>
      </c>
      <c r="K604" s="9">
        <v>179</v>
      </c>
      <c r="L604" s="9">
        <v>2023</v>
      </c>
      <c r="M604" s="8" t="s">
        <v>3749</v>
      </c>
      <c r="N604" s="8" t="s">
        <v>42</v>
      </c>
      <c r="O604" s="8" t="s">
        <v>65</v>
      </c>
      <c r="P604" s="6" t="s">
        <v>44</v>
      </c>
      <c r="Q604" s="8" t="s">
        <v>45</v>
      </c>
      <c r="R604" s="10" t="s">
        <v>1873</v>
      </c>
      <c r="S604" s="11"/>
      <c r="T604" s="6"/>
      <c r="U604" s="24" t="str">
        <f>HYPERLINK("https://media.infra-m.ru/1871/1871442/cover/1871442.jpg", "Обложка")</f>
        <v>Обложка</v>
      </c>
      <c r="V604" s="24" t="str">
        <f>HYPERLINK("https://znanium.ru/catalog/product/1871442", "Ознакомиться")</f>
        <v>Ознакомиться</v>
      </c>
      <c r="W604" s="8" t="s">
        <v>3501</v>
      </c>
      <c r="X604" s="6"/>
      <c r="Y604" s="6"/>
      <c r="Z604" s="6"/>
      <c r="AA604" s="6" t="s">
        <v>119</v>
      </c>
      <c r="AB604" s="8"/>
    </row>
    <row r="605" spans="1:28" s="4" customFormat="1" ht="42" customHeight="1">
      <c r="A605" s="5">
        <v>0</v>
      </c>
      <c r="B605" s="6" t="s">
        <v>3750</v>
      </c>
      <c r="C605" s="7">
        <v>1188</v>
      </c>
      <c r="D605" s="8" t="s">
        <v>3751</v>
      </c>
      <c r="E605" s="8" t="s">
        <v>3752</v>
      </c>
      <c r="F605" s="8" t="s">
        <v>3753</v>
      </c>
      <c r="G605" s="6" t="s">
        <v>38</v>
      </c>
      <c r="H605" s="6" t="s">
        <v>39</v>
      </c>
      <c r="I605" s="8" t="s">
        <v>40</v>
      </c>
      <c r="J605" s="9">
        <v>1</v>
      </c>
      <c r="K605" s="9">
        <v>220</v>
      </c>
      <c r="L605" s="9">
        <v>2023</v>
      </c>
      <c r="M605" s="8" t="s">
        <v>3754</v>
      </c>
      <c r="N605" s="8" t="s">
        <v>42</v>
      </c>
      <c r="O605" s="8" t="s">
        <v>189</v>
      </c>
      <c r="P605" s="6" t="s">
        <v>44</v>
      </c>
      <c r="Q605" s="8" t="s">
        <v>45</v>
      </c>
      <c r="R605" s="10" t="s">
        <v>3755</v>
      </c>
      <c r="S605" s="11"/>
      <c r="T605" s="6"/>
      <c r="U605" s="24" t="str">
        <f>HYPERLINK("https://media.infra-m.ru/2019/2019758/cover/2019758.jpg", "Обложка")</f>
        <v>Обложка</v>
      </c>
      <c r="V605" s="24" t="str">
        <f>HYPERLINK("https://znanium.ru/catalog/product/2019758", "Ознакомиться")</f>
        <v>Ознакомиться</v>
      </c>
      <c r="W605" s="8" t="s">
        <v>3756</v>
      </c>
      <c r="X605" s="6"/>
      <c r="Y605" s="6"/>
      <c r="Z605" s="6"/>
      <c r="AA605" s="6" t="s">
        <v>290</v>
      </c>
      <c r="AB605" s="8"/>
    </row>
    <row r="606" spans="1:28" s="4" customFormat="1" ht="51.95" customHeight="1">
      <c r="A606" s="5">
        <v>0</v>
      </c>
      <c r="B606" s="6" t="s">
        <v>3757</v>
      </c>
      <c r="C606" s="13">
        <v>869.9</v>
      </c>
      <c r="D606" s="8" t="s">
        <v>3758</v>
      </c>
      <c r="E606" s="8" t="s">
        <v>3759</v>
      </c>
      <c r="F606" s="8" t="s">
        <v>3760</v>
      </c>
      <c r="G606" s="6" t="s">
        <v>132</v>
      </c>
      <c r="H606" s="6" t="s">
        <v>1019</v>
      </c>
      <c r="I606" s="8" t="s">
        <v>1020</v>
      </c>
      <c r="J606" s="9">
        <v>1</v>
      </c>
      <c r="K606" s="9">
        <v>206</v>
      </c>
      <c r="L606" s="9">
        <v>2020</v>
      </c>
      <c r="M606" s="8" t="s">
        <v>3761</v>
      </c>
      <c r="N606" s="8" t="s">
        <v>42</v>
      </c>
      <c r="O606" s="8" t="s">
        <v>246</v>
      </c>
      <c r="P606" s="6" t="s">
        <v>44</v>
      </c>
      <c r="Q606" s="8" t="s">
        <v>3762</v>
      </c>
      <c r="R606" s="10" t="s">
        <v>3763</v>
      </c>
      <c r="S606" s="11"/>
      <c r="T606" s="6"/>
      <c r="U606" s="24" t="str">
        <f>HYPERLINK("https://media.infra-m.ru/1047/1047111/cover/1047111.jpg", "Обложка")</f>
        <v>Обложка</v>
      </c>
      <c r="V606" s="24" t="str">
        <f>HYPERLINK("https://znanium.ru/catalog/product/937518", "Ознакомиться")</f>
        <v>Ознакомиться</v>
      </c>
      <c r="W606" s="8" t="s">
        <v>846</v>
      </c>
      <c r="X606" s="6"/>
      <c r="Y606" s="6"/>
      <c r="Z606" s="6"/>
      <c r="AA606" s="6" t="s">
        <v>339</v>
      </c>
      <c r="AB606" s="8"/>
    </row>
    <row r="607" spans="1:28" s="4" customFormat="1" ht="42" customHeight="1">
      <c r="A607" s="5">
        <v>0</v>
      </c>
      <c r="B607" s="6" t="s">
        <v>3764</v>
      </c>
      <c r="C607" s="7">
        <v>2218.8000000000002</v>
      </c>
      <c r="D607" s="8" t="s">
        <v>3765</v>
      </c>
      <c r="E607" s="8" t="s">
        <v>3766</v>
      </c>
      <c r="F607" s="8" t="s">
        <v>1891</v>
      </c>
      <c r="G607" s="6" t="s">
        <v>81</v>
      </c>
      <c r="H607" s="6" t="s">
        <v>39</v>
      </c>
      <c r="I607" s="8" t="s">
        <v>1893</v>
      </c>
      <c r="J607" s="9">
        <v>1</v>
      </c>
      <c r="K607" s="9">
        <v>331</v>
      </c>
      <c r="L607" s="9">
        <v>2026</v>
      </c>
      <c r="M607" s="8" t="s">
        <v>3767</v>
      </c>
      <c r="N607" s="8" t="s">
        <v>284</v>
      </c>
      <c r="O607" s="8" t="s">
        <v>328</v>
      </c>
      <c r="P607" s="6" t="s">
        <v>3768</v>
      </c>
      <c r="Q607" s="8" t="s">
        <v>45</v>
      </c>
      <c r="R607" s="10" t="s">
        <v>3769</v>
      </c>
      <c r="S607" s="11"/>
      <c r="T607" s="6"/>
      <c r="U607" s="24" t="str">
        <f>HYPERLINK("https://media.infra-m.ru/2214/2214699/cover/2214699.jpg", "Обложка")</f>
        <v>Обложка</v>
      </c>
      <c r="V607" s="24" t="str">
        <f>HYPERLINK("https://znanium.ru/catalog/product/2214699", "Ознакомиться")</f>
        <v>Ознакомиться</v>
      </c>
      <c r="W607" s="8"/>
      <c r="X607" s="6"/>
      <c r="Y607" s="6"/>
      <c r="Z607" s="6"/>
      <c r="AA607" s="6" t="s">
        <v>725</v>
      </c>
      <c r="AB607" s="8"/>
    </row>
    <row r="608" spans="1:28" s="4" customFormat="1" ht="42" customHeight="1">
      <c r="A608" s="5">
        <v>0</v>
      </c>
      <c r="B608" s="6" t="s">
        <v>3770</v>
      </c>
      <c r="C608" s="7">
        <v>1152</v>
      </c>
      <c r="D608" s="8" t="s">
        <v>3771</v>
      </c>
      <c r="E608" s="8" t="s">
        <v>3772</v>
      </c>
      <c r="F608" s="8" t="s">
        <v>1891</v>
      </c>
      <c r="G608" s="6" t="s">
        <v>38</v>
      </c>
      <c r="H608" s="6" t="s">
        <v>39</v>
      </c>
      <c r="I608" s="8" t="s">
        <v>1893</v>
      </c>
      <c r="J608" s="9">
        <v>1</v>
      </c>
      <c r="K608" s="9">
        <v>271</v>
      </c>
      <c r="L608" s="9">
        <v>2022</v>
      </c>
      <c r="M608" s="8" t="s">
        <v>3773</v>
      </c>
      <c r="N608" s="8" t="s">
        <v>284</v>
      </c>
      <c r="O608" s="8" t="s">
        <v>328</v>
      </c>
      <c r="P608" s="6" t="s">
        <v>3768</v>
      </c>
      <c r="Q608" s="8" t="s">
        <v>45</v>
      </c>
      <c r="R608" s="10" t="s">
        <v>3769</v>
      </c>
      <c r="S608" s="11"/>
      <c r="T608" s="6"/>
      <c r="U608" s="24" t="str">
        <f>HYPERLINK("https://media.infra-m.ru/1868/1868800/cover/1868800.jpg", "Обложка")</f>
        <v>Обложка</v>
      </c>
      <c r="V608" s="24" t="str">
        <f>HYPERLINK("https://znanium.ru/catalog/product/2214699", "Ознакомиться")</f>
        <v>Ознакомиться</v>
      </c>
      <c r="W608" s="8"/>
      <c r="X608" s="6"/>
      <c r="Y608" s="6"/>
      <c r="Z608" s="6"/>
      <c r="AA608" s="6" t="s">
        <v>369</v>
      </c>
      <c r="AB608" s="8"/>
    </row>
    <row r="609" spans="1:28" s="4" customFormat="1" ht="42" customHeight="1">
      <c r="A609" s="5">
        <v>0</v>
      </c>
      <c r="B609" s="6" t="s">
        <v>3774</v>
      </c>
      <c r="C609" s="13">
        <v>804</v>
      </c>
      <c r="D609" s="8" t="s">
        <v>3775</v>
      </c>
      <c r="E609" s="8" t="s">
        <v>3776</v>
      </c>
      <c r="F609" s="8" t="s">
        <v>1891</v>
      </c>
      <c r="G609" s="6" t="s">
        <v>81</v>
      </c>
      <c r="H609" s="6" t="s">
        <v>39</v>
      </c>
      <c r="I609" s="8"/>
      <c r="J609" s="9">
        <v>1</v>
      </c>
      <c r="K609" s="9">
        <v>176</v>
      </c>
      <c r="L609" s="9">
        <v>2019</v>
      </c>
      <c r="M609" s="8" t="s">
        <v>3777</v>
      </c>
      <c r="N609" s="8" t="s">
        <v>284</v>
      </c>
      <c r="O609" s="8" t="s">
        <v>328</v>
      </c>
      <c r="P609" s="6" t="s">
        <v>3768</v>
      </c>
      <c r="Q609" s="8" t="s">
        <v>45</v>
      </c>
      <c r="R609" s="10" t="s">
        <v>3769</v>
      </c>
      <c r="S609" s="11"/>
      <c r="T609" s="6"/>
      <c r="U609" s="24" t="str">
        <f>HYPERLINK("https://media.infra-m.ru/1007/1007533/cover/1007533.jpg", "Обложка")</f>
        <v>Обложка</v>
      </c>
      <c r="V609" s="24" t="str">
        <f>HYPERLINK("https://znanium.ru/catalog/product/1215829", "Ознакомиться")</f>
        <v>Ознакомиться</v>
      </c>
      <c r="W609" s="8"/>
      <c r="X609" s="6"/>
      <c r="Y609" s="6"/>
      <c r="Z609" s="6"/>
      <c r="AA609" s="6" t="s">
        <v>369</v>
      </c>
      <c r="AB609" s="8"/>
    </row>
    <row r="610" spans="1:28" s="4" customFormat="1" ht="44.1" customHeight="1">
      <c r="A610" s="5">
        <v>0</v>
      </c>
      <c r="B610" s="6" t="s">
        <v>3778</v>
      </c>
      <c r="C610" s="13">
        <v>744</v>
      </c>
      <c r="D610" s="8" t="s">
        <v>3779</v>
      </c>
      <c r="E610" s="8" t="s">
        <v>3780</v>
      </c>
      <c r="F610" s="8" t="s">
        <v>1891</v>
      </c>
      <c r="G610" s="6" t="s">
        <v>38</v>
      </c>
      <c r="H610" s="6" t="s">
        <v>39</v>
      </c>
      <c r="I610" s="8" t="s">
        <v>1893</v>
      </c>
      <c r="J610" s="9">
        <v>1</v>
      </c>
      <c r="K610" s="9">
        <v>138</v>
      </c>
      <c r="L610" s="9">
        <v>2023</v>
      </c>
      <c r="M610" s="8" t="s">
        <v>3781</v>
      </c>
      <c r="N610" s="8" t="s">
        <v>284</v>
      </c>
      <c r="O610" s="8" t="s">
        <v>285</v>
      </c>
      <c r="P610" s="6" t="s">
        <v>3768</v>
      </c>
      <c r="Q610" s="8" t="s">
        <v>45</v>
      </c>
      <c r="R610" s="10" t="s">
        <v>3782</v>
      </c>
      <c r="S610" s="11"/>
      <c r="T610" s="6"/>
      <c r="U610" s="24" t="str">
        <f>HYPERLINK("https://media.infra-m.ru/1919/1919442/cover/1919442.jpg", "Обложка")</f>
        <v>Обложка</v>
      </c>
      <c r="V610" s="24" t="str">
        <f>HYPERLINK("https://znanium.ru/catalog/product/1919442", "Ознакомиться")</f>
        <v>Ознакомиться</v>
      </c>
      <c r="W610" s="8"/>
      <c r="X610" s="6"/>
      <c r="Y610" s="6"/>
      <c r="Z610" s="6"/>
      <c r="AA610" s="6" t="s">
        <v>119</v>
      </c>
      <c r="AB610" s="8"/>
    </row>
    <row r="611" spans="1:28" s="4" customFormat="1" ht="44.1" customHeight="1">
      <c r="A611" s="5">
        <v>0</v>
      </c>
      <c r="B611" s="6" t="s">
        <v>3783</v>
      </c>
      <c r="C611" s="13">
        <v>636</v>
      </c>
      <c r="D611" s="8" t="s">
        <v>3784</v>
      </c>
      <c r="E611" s="8" t="s">
        <v>3785</v>
      </c>
      <c r="F611" s="8" t="s">
        <v>1891</v>
      </c>
      <c r="G611" s="6" t="s">
        <v>38</v>
      </c>
      <c r="H611" s="6" t="s">
        <v>39</v>
      </c>
      <c r="I611" s="8" t="s">
        <v>1893</v>
      </c>
      <c r="J611" s="9">
        <v>1</v>
      </c>
      <c r="K611" s="9">
        <v>96</v>
      </c>
      <c r="L611" s="9">
        <v>2026</v>
      </c>
      <c r="M611" s="8" t="s">
        <v>3786</v>
      </c>
      <c r="N611" s="8" t="s">
        <v>284</v>
      </c>
      <c r="O611" s="8" t="s">
        <v>328</v>
      </c>
      <c r="P611" s="6" t="s">
        <v>3768</v>
      </c>
      <c r="Q611" s="8" t="s">
        <v>45</v>
      </c>
      <c r="R611" s="10" t="s">
        <v>3787</v>
      </c>
      <c r="S611" s="11"/>
      <c r="T611" s="6"/>
      <c r="U611" s="24" t="str">
        <f>HYPERLINK("https://media.infra-m.ru/2218/2218839/cover/2218839.jpg", "Обложка")</f>
        <v>Обложка</v>
      </c>
      <c r="V611" s="24" t="str">
        <f>HYPERLINK("https://znanium.ru/catalog/product/2218839", "Ознакомиться")</f>
        <v>Ознакомиться</v>
      </c>
      <c r="W611" s="8"/>
      <c r="X611" s="6"/>
      <c r="Y611" s="6"/>
      <c r="Z611" s="6"/>
      <c r="AA611" s="6" t="s">
        <v>369</v>
      </c>
      <c r="AB611" s="8"/>
    </row>
    <row r="612" spans="1:28" s="4" customFormat="1" ht="44.1" customHeight="1">
      <c r="A612" s="5">
        <v>0</v>
      </c>
      <c r="B612" s="6" t="s">
        <v>3788</v>
      </c>
      <c r="C612" s="7">
        <v>1798.8</v>
      </c>
      <c r="D612" s="8" t="s">
        <v>3789</v>
      </c>
      <c r="E612" s="8" t="s">
        <v>3790</v>
      </c>
      <c r="F612" s="8" t="s">
        <v>1891</v>
      </c>
      <c r="G612" s="6" t="s">
        <v>81</v>
      </c>
      <c r="H612" s="6" t="s">
        <v>39</v>
      </c>
      <c r="I612" s="8"/>
      <c r="J612" s="9">
        <v>1</v>
      </c>
      <c r="K612" s="9">
        <v>130</v>
      </c>
      <c r="L612" s="9">
        <v>2026</v>
      </c>
      <c r="M612" s="8" t="s">
        <v>3791</v>
      </c>
      <c r="N612" s="8" t="s">
        <v>284</v>
      </c>
      <c r="O612" s="8" t="s">
        <v>328</v>
      </c>
      <c r="P612" s="6" t="s">
        <v>3768</v>
      </c>
      <c r="Q612" s="8" t="s">
        <v>45</v>
      </c>
      <c r="R612" s="10" t="s">
        <v>3787</v>
      </c>
      <c r="S612" s="11"/>
      <c r="T612" s="6"/>
      <c r="U612" s="24" t="str">
        <f>HYPERLINK("https://media.infra-m.ru/2214/2214700/cover/2214700.jpg", "Обложка")</f>
        <v>Обложка</v>
      </c>
      <c r="V612" s="24" t="str">
        <f>HYPERLINK("https://znanium.ru/catalog/product/2214700", "Ознакомиться")</f>
        <v>Ознакомиться</v>
      </c>
      <c r="W612" s="8"/>
      <c r="X612" s="6"/>
      <c r="Y612" s="6"/>
      <c r="Z612" s="6"/>
      <c r="AA612" s="6" t="s">
        <v>119</v>
      </c>
      <c r="AB612" s="8"/>
    </row>
    <row r="613" spans="1:28" s="4" customFormat="1" ht="42" customHeight="1">
      <c r="A613" s="5">
        <v>0</v>
      </c>
      <c r="B613" s="6" t="s">
        <v>3792</v>
      </c>
      <c r="C613" s="7">
        <v>1272</v>
      </c>
      <c r="D613" s="8" t="s">
        <v>3793</v>
      </c>
      <c r="E613" s="8" t="s">
        <v>3794</v>
      </c>
      <c r="F613" s="8" t="s">
        <v>1891</v>
      </c>
      <c r="G613" s="6" t="s">
        <v>81</v>
      </c>
      <c r="H613" s="6" t="s">
        <v>39</v>
      </c>
      <c r="I613" s="8" t="s">
        <v>1893</v>
      </c>
      <c r="J613" s="9">
        <v>1</v>
      </c>
      <c r="K613" s="9">
        <v>287</v>
      </c>
      <c r="L613" s="9">
        <v>2022</v>
      </c>
      <c r="M613" s="8" t="s">
        <v>3795</v>
      </c>
      <c r="N613" s="8" t="s">
        <v>284</v>
      </c>
      <c r="O613" s="8" t="s">
        <v>328</v>
      </c>
      <c r="P613" s="6" t="s">
        <v>3768</v>
      </c>
      <c r="Q613" s="8" t="s">
        <v>45</v>
      </c>
      <c r="R613" s="10" t="s">
        <v>3796</v>
      </c>
      <c r="S613" s="11"/>
      <c r="T613" s="6"/>
      <c r="U613" s="24" t="str">
        <f>HYPERLINK("https://media.infra-m.ru/1861/1861121/cover/1861121.jpg", "Обложка")</f>
        <v>Обложка</v>
      </c>
      <c r="V613" s="24" t="str">
        <f>HYPERLINK("https://znanium.ru/catalog/product/2164116", "Ознакомиться")</f>
        <v>Ознакомиться</v>
      </c>
      <c r="W613" s="8"/>
      <c r="X613" s="6"/>
      <c r="Y613" s="6"/>
      <c r="Z613" s="6"/>
      <c r="AA613" s="6" t="s">
        <v>424</v>
      </c>
      <c r="AB613" s="8"/>
    </row>
    <row r="614" spans="1:28" s="4" customFormat="1" ht="42" customHeight="1">
      <c r="A614" s="5">
        <v>0</v>
      </c>
      <c r="B614" s="6" t="s">
        <v>3797</v>
      </c>
      <c r="C614" s="7">
        <v>1668</v>
      </c>
      <c r="D614" s="8" t="s">
        <v>3798</v>
      </c>
      <c r="E614" s="8" t="s">
        <v>3799</v>
      </c>
      <c r="F614" s="8"/>
      <c r="G614" s="6" t="s">
        <v>81</v>
      </c>
      <c r="H614" s="6" t="s">
        <v>39</v>
      </c>
      <c r="I614" s="8" t="s">
        <v>1893</v>
      </c>
      <c r="J614" s="9">
        <v>1</v>
      </c>
      <c r="K614" s="9">
        <v>264</v>
      </c>
      <c r="L614" s="9">
        <v>2025</v>
      </c>
      <c r="M614" s="8" t="s">
        <v>3800</v>
      </c>
      <c r="N614" s="8" t="s">
        <v>284</v>
      </c>
      <c r="O614" s="8" t="s">
        <v>328</v>
      </c>
      <c r="P614" s="6" t="s">
        <v>3768</v>
      </c>
      <c r="Q614" s="8" t="s">
        <v>45</v>
      </c>
      <c r="R614" s="10" t="s">
        <v>3796</v>
      </c>
      <c r="S614" s="11"/>
      <c r="T614" s="6"/>
      <c r="U614" s="24" t="str">
        <f>HYPERLINK("https://media.infra-m.ru/2164/2164116/cover/2164116.jpg", "Обложка")</f>
        <v>Обложка</v>
      </c>
      <c r="V614" s="24" t="str">
        <f>HYPERLINK("https://znanium.ru/catalog/product/2164116", "Ознакомиться")</f>
        <v>Ознакомиться</v>
      </c>
      <c r="W614" s="8"/>
      <c r="X614" s="6" t="s">
        <v>517</v>
      </c>
      <c r="Y614" s="6"/>
      <c r="Z614" s="6"/>
      <c r="AA614" s="6" t="s">
        <v>419</v>
      </c>
      <c r="AB614" s="8"/>
    </row>
    <row r="615" spans="1:28" s="4" customFormat="1" ht="42" customHeight="1">
      <c r="A615" s="5">
        <v>0</v>
      </c>
      <c r="B615" s="6" t="s">
        <v>3801</v>
      </c>
      <c r="C615" s="7">
        <v>1080</v>
      </c>
      <c r="D615" s="8" t="s">
        <v>3802</v>
      </c>
      <c r="E615" s="8" t="s">
        <v>3803</v>
      </c>
      <c r="F615" s="8" t="s">
        <v>1891</v>
      </c>
      <c r="G615" s="6" t="s">
        <v>81</v>
      </c>
      <c r="H615" s="6" t="s">
        <v>39</v>
      </c>
      <c r="I615" s="8"/>
      <c r="J615" s="9">
        <v>1</v>
      </c>
      <c r="K615" s="9">
        <v>271</v>
      </c>
      <c r="L615" s="9">
        <v>2019</v>
      </c>
      <c r="M615" s="8" t="s">
        <v>3804</v>
      </c>
      <c r="N615" s="8" t="s">
        <v>284</v>
      </c>
      <c r="O615" s="8" t="s">
        <v>328</v>
      </c>
      <c r="P615" s="6" t="s">
        <v>3768</v>
      </c>
      <c r="Q615" s="8" t="s">
        <v>45</v>
      </c>
      <c r="R615" s="10" t="s">
        <v>3796</v>
      </c>
      <c r="S615" s="11"/>
      <c r="T615" s="6"/>
      <c r="U615" s="24" t="str">
        <f>HYPERLINK("https://media.infra-m.ru/1007/1007983/cover/1007983.jpg", "Обложка")</f>
        <v>Обложка</v>
      </c>
      <c r="V615" s="24" t="str">
        <f>HYPERLINK("https://znanium.ru/catalog/product/2164116", "Ознакомиться")</f>
        <v>Ознакомиться</v>
      </c>
      <c r="W615" s="8"/>
      <c r="X615" s="6"/>
      <c r="Y615" s="6"/>
      <c r="Z615" s="6"/>
      <c r="AA615" s="6" t="s">
        <v>369</v>
      </c>
      <c r="AB615" s="8"/>
    </row>
    <row r="616" spans="1:28" s="4" customFormat="1" ht="44.1" customHeight="1">
      <c r="A616" s="5">
        <v>0</v>
      </c>
      <c r="B616" s="6" t="s">
        <v>3805</v>
      </c>
      <c r="C616" s="7">
        <v>1284</v>
      </c>
      <c r="D616" s="8" t="s">
        <v>3806</v>
      </c>
      <c r="E616" s="8" t="s">
        <v>3807</v>
      </c>
      <c r="F616" s="8" t="s">
        <v>3808</v>
      </c>
      <c r="G616" s="6" t="s">
        <v>38</v>
      </c>
      <c r="H616" s="6" t="s">
        <v>39</v>
      </c>
      <c r="I616" s="8" t="s">
        <v>40</v>
      </c>
      <c r="J616" s="9">
        <v>1</v>
      </c>
      <c r="K616" s="9">
        <v>278</v>
      </c>
      <c r="L616" s="9">
        <v>2021</v>
      </c>
      <c r="M616" s="8" t="s">
        <v>3809</v>
      </c>
      <c r="N616" s="8" t="s">
        <v>42</v>
      </c>
      <c r="O616" s="8" t="s">
        <v>189</v>
      </c>
      <c r="P616" s="6" t="s">
        <v>44</v>
      </c>
      <c r="Q616" s="8" t="s">
        <v>45</v>
      </c>
      <c r="R616" s="10" t="s">
        <v>2503</v>
      </c>
      <c r="S616" s="11"/>
      <c r="T616" s="6"/>
      <c r="U616" s="24" t="str">
        <f>HYPERLINK("https://media.infra-m.ru/1371/1371304/cover/1371304.jpg", "Обложка")</f>
        <v>Обложка</v>
      </c>
      <c r="V616" s="24" t="str">
        <f>HYPERLINK("https://znanium.ru/catalog/product/1371304", "Ознакомиться")</f>
        <v>Ознакомиться</v>
      </c>
      <c r="W616" s="8"/>
      <c r="X616" s="6"/>
      <c r="Y616" s="6"/>
      <c r="Z616" s="6"/>
      <c r="AA616" s="6" t="s">
        <v>199</v>
      </c>
      <c r="AB616" s="8"/>
    </row>
    <row r="617" spans="1:28" s="4" customFormat="1" ht="51.95" customHeight="1">
      <c r="A617" s="5">
        <v>0</v>
      </c>
      <c r="B617" s="6" t="s">
        <v>3810</v>
      </c>
      <c r="C617" s="13">
        <v>768</v>
      </c>
      <c r="D617" s="8" t="s">
        <v>3811</v>
      </c>
      <c r="E617" s="8" t="s">
        <v>3812</v>
      </c>
      <c r="F617" s="8" t="s">
        <v>3813</v>
      </c>
      <c r="G617" s="6" t="s">
        <v>38</v>
      </c>
      <c r="H617" s="6" t="s">
        <v>39</v>
      </c>
      <c r="I617" s="8" t="s">
        <v>40</v>
      </c>
      <c r="J617" s="9">
        <v>1</v>
      </c>
      <c r="K617" s="9">
        <v>142</v>
      </c>
      <c r="L617" s="9">
        <v>2023</v>
      </c>
      <c r="M617" s="8" t="s">
        <v>3814</v>
      </c>
      <c r="N617" s="8" t="s">
        <v>42</v>
      </c>
      <c r="O617" s="8" t="s">
        <v>246</v>
      </c>
      <c r="P617" s="6" t="s">
        <v>44</v>
      </c>
      <c r="Q617" s="8" t="s">
        <v>45</v>
      </c>
      <c r="R617" s="10" t="s">
        <v>3815</v>
      </c>
      <c r="S617" s="11"/>
      <c r="T617" s="6"/>
      <c r="U617" s="24" t="str">
        <f>HYPERLINK("https://media.infra-m.ru/1905/1905073/cover/1905073.jpg", "Обложка")</f>
        <v>Обложка</v>
      </c>
      <c r="V617" s="24" t="str">
        <f>HYPERLINK("https://znanium.ru/catalog/product/1905073", "Ознакомиться")</f>
        <v>Ознакомиться</v>
      </c>
      <c r="W617" s="8" t="s">
        <v>207</v>
      </c>
      <c r="X617" s="6"/>
      <c r="Y617" s="6"/>
      <c r="Z617" s="6"/>
      <c r="AA617" s="6" t="s">
        <v>1494</v>
      </c>
      <c r="AB617" s="8"/>
    </row>
    <row r="618" spans="1:28" s="4" customFormat="1" ht="51.95" customHeight="1">
      <c r="A618" s="5">
        <v>0</v>
      </c>
      <c r="B618" s="6" t="s">
        <v>3816</v>
      </c>
      <c r="C618" s="7">
        <v>1452</v>
      </c>
      <c r="D618" s="8" t="s">
        <v>3817</v>
      </c>
      <c r="E618" s="8" t="s">
        <v>3818</v>
      </c>
      <c r="F618" s="8" t="s">
        <v>3819</v>
      </c>
      <c r="G618" s="6" t="s">
        <v>38</v>
      </c>
      <c r="H618" s="6" t="s">
        <v>182</v>
      </c>
      <c r="I618" s="8" t="s">
        <v>40</v>
      </c>
      <c r="J618" s="9">
        <v>1</v>
      </c>
      <c r="K618" s="9">
        <v>262</v>
      </c>
      <c r="L618" s="9">
        <v>2024</v>
      </c>
      <c r="M618" s="8" t="s">
        <v>3820</v>
      </c>
      <c r="N618" s="8" t="s">
        <v>42</v>
      </c>
      <c r="O618" s="8" t="s">
        <v>189</v>
      </c>
      <c r="P618" s="6" t="s">
        <v>44</v>
      </c>
      <c r="Q618" s="8" t="s">
        <v>1152</v>
      </c>
      <c r="R618" s="10" t="s">
        <v>3821</v>
      </c>
      <c r="S618" s="11"/>
      <c r="T618" s="6"/>
      <c r="U618" s="24" t="str">
        <f>HYPERLINK("https://media.infra-m.ru/2117/2117141/cover/2117141.jpg", "Обложка")</f>
        <v>Обложка</v>
      </c>
      <c r="V618" s="24" t="str">
        <f>HYPERLINK("https://znanium.ru/catalog/product/2117141", "Ознакомиться")</f>
        <v>Ознакомиться</v>
      </c>
      <c r="W618" s="8"/>
      <c r="X618" s="6"/>
      <c r="Y618" s="6"/>
      <c r="Z618" s="6"/>
      <c r="AA618" s="6" t="s">
        <v>339</v>
      </c>
      <c r="AB618" s="8"/>
    </row>
    <row r="619" spans="1:28" s="4" customFormat="1" ht="44.1" customHeight="1">
      <c r="A619" s="5">
        <v>0</v>
      </c>
      <c r="B619" s="6" t="s">
        <v>3822</v>
      </c>
      <c r="C619" s="13">
        <v>976.8</v>
      </c>
      <c r="D619" s="8" t="s">
        <v>3823</v>
      </c>
      <c r="E619" s="8" t="s">
        <v>3824</v>
      </c>
      <c r="F619" s="8" t="s">
        <v>3825</v>
      </c>
      <c r="G619" s="6" t="s">
        <v>38</v>
      </c>
      <c r="H619" s="6" t="s">
        <v>39</v>
      </c>
      <c r="I619" s="8" t="s">
        <v>40</v>
      </c>
      <c r="J619" s="9">
        <v>1</v>
      </c>
      <c r="K619" s="9">
        <v>174</v>
      </c>
      <c r="L619" s="9">
        <v>2023</v>
      </c>
      <c r="M619" s="8" t="s">
        <v>3826</v>
      </c>
      <c r="N619" s="8" t="s">
        <v>42</v>
      </c>
      <c r="O619" s="8" t="s">
        <v>189</v>
      </c>
      <c r="P619" s="6" t="s">
        <v>44</v>
      </c>
      <c r="Q619" s="8" t="s">
        <v>45</v>
      </c>
      <c r="R619" s="10" t="s">
        <v>3827</v>
      </c>
      <c r="S619" s="11"/>
      <c r="T619" s="6"/>
      <c r="U619" s="24" t="str">
        <f>HYPERLINK("https://media.infra-m.ru/2111/2111775/cover/2111775.jpg", "Обложка")</f>
        <v>Обложка</v>
      </c>
      <c r="V619" s="24" t="str">
        <f>HYPERLINK("https://znanium.ru/catalog/product/2111773", "Ознакомиться")</f>
        <v>Ознакомиться</v>
      </c>
      <c r="W619" s="8" t="s">
        <v>289</v>
      </c>
      <c r="X619" s="6"/>
      <c r="Y619" s="6"/>
      <c r="Z619" s="6"/>
      <c r="AA619" s="6" t="s">
        <v>68</v>
      </c>
      <c r="AB619" s="8"/>
    </row>
    <row r="620" spans="1:28" s="4" customFormat="1" ht="42" customHeight="1">
      <c r="A620" s="5">
        <v>0</v>
      </c>
      <c r="B620" s="6" t="s">
        <v>3828</v>
      </c>
      <c r="C620" s="13">
        <v>984</v>
      </c>
      <c r="D620" s="8" t="s">
        <v>3829</v>
      </c>
      <c r="E620" s="8" t="s">
        <v>3830</v>
      </c>
      <c r="F620" s="8" t="s">
        <v>3831</v>
      </c>
      <c r="G620" s="6" t="s">
        <v>38</v>
      </c>
      <c r="H620" s="6" t="s">
        <v>39</v>
      </c>
      <c r="I620" s="8" t="s">
        <v>164</v>
      </c>
      <c r="J620" s="9">
        <v>1</v>
      </c>
      <c r="K620" s="9">
        <v>166</v>
      </c>
      <c r="L620" s="9">
        <v>2024</v>
      </c>
      <c r="M620" s="8" t="s">
        <v>3832</v>
      </c>
      <c r="N620" s="8" t="s">
        <v>42</v>
      </c>
      <c r="O620" s="8" t="s">
        <v>189</v>
      </c>
      <c r="P620" s="6" t="s">
        <v>44</v>
      </c>
      <c r="Q620" s="8" t="s">
        <v>45</v>
      </c>
      <c r="R620" s="10" t="s">
        <v>2503</v>
      </c>
      <c r="S620" s="11"/>
      <c r="T620" s="6"/>
      <c r="U620" s="24" t="str">
        <f>HYPERLINK("https://media.infra-m.ru/2065/2065515/cover/2065515.jpg", "Обложка")</f>
        <v>Обложка</v>
      </c>
      <c r="V620" s="24" t="str">
        <f>HYPERLINK("https://znanium.ru/catalog/product/2065515", "Ознакомиться")</f>
        <v>Ознакомиться</v>
      </c>
      <c r="W620" s="8" t="s">
        <v>167</v>
      </c>
      <c r="X620" s="6"/>
      <c r="Y620" s="6"/>
      <c r="Z620" s="6"/>
      <c r="AA620" s="6" t="s">
        <v>119</v>
      </c>
      <c r="AB620" s="8"/>
    </row>
    <row r="621" spans="1:28" s="4" customFormat="1" ht="44.1" customHeight="1">
      <c r="A621" s="5">
        <v>0</v>
      </c>
      <c r="B621" s="6" t="s">
        <v>3833</v>
      </c>
      <c r="C621" s="7">
        <v>1420.8</v>
      </c>
      <c r="D621" s="8" t="s">
        <v>3834</v>
      </c>
      <c r="E621" s="8" t="s">
        <v>3835</v>
      </c>
      <c r="F621" s="8" t="s">
        <v>3836</v>
      </c>
      <c r="G621" s="6" t="s">
        <v>132</v>
      </c>
      <c r="H621" s="6" t="s">
        <v>39</v>
      </c>
      <c r="I621" s="8" t="s">
        <v>40</v>
      </c>
      <c r="J621" s="9">
        <v>1</v>
      </c>
      <c r="K621" s="9">
        <v>251</v>
      </c>
      <c r="L621" s="9">
        <v>2024</v>
      </c>
      <c r="M621" s="8" t="s">
        <v>3837</v>
      </c>
      <c r="N621" s="8" t="s">
        <v>42</v>
      </c>
      <c r="O621" s="8" t="s">
        <v>101</v>
      </c>
      <c r="P621" s="6" t="s">
        <v>44</v>
      </c>
      <c r="Q621" s="8" t="s">
        <v>45</v>
      </c>
      <c r="R621" s="10" t="s">
        <v>3838</v>
      </c>
      <c r="S621" s="11"/>
      <c r="T621" s="6"/>
      <c r="U621" s="24" t="str">
        <f>HYPERLINK("https://media.infra-m.ru/2137/2137808/cover/2137808.jpg", "Обложка")</f>
        <v>Обложка</v>
      </c>
      <c r="V621" s="24" t="str">
        <f>HYPERLINK("https://znanium.ru/catalog/product/2136011", "Ознакомиться")</f>
        <v>Ознакомиться</v>
      </c>
      <c r="W621" s="8" t="s">
        <v>3839</v>
      </c>
      <c r="X621" s="6"/>
      <c r="Y621" s="6"/>
      <c r="Z621" s="6"/>
      <c r="AA621" s="6" t="s">
        <v>68</v>
      </c>
      <c r="AB621" s="8"/>
    </row>
    <row r="622" spans="1:28" s="4" customFormat="1" ht="51.95" customHeight="1">
      <c r="A622" s="5">
        <v>0</v>
      </c>
      <c r="B622" s="6" t="s">
        <v>3840</v>
      </c>
      <c r="C622" s="7">
        <v>1668</v>
      </c>
      <c r="D622" s="8" t="s">
        <v>3841</v>
      </c>
      <c r="E622" s="8" t="s">
        <v>3842</v>
      </c>
      <c r="F622" s="8" t="s">
        <v>3843</v>
      </c>
      <c r="G622" s="6" t="s">
        <v>132</v>
      </c>
      <c r="H622" s="6" t="s">
        <v>39</v>
      </c>
      <c r="I622" s="8" t="s">
        <v>40</v>
      </c>
      <c r="J622" s="9">
        <v>1</v>
      </c>
      <c r="K622" s="9">
        <v>254</v>
      </c>
      <c r="L622" s="9">
        <v>2025</v>
      </c>
      <c r="M622" s="8" t="s">
        <v>3844</v>
      </c>
      <c r="N622" s="8" t="s">
        <v>42</v>
      </c>
      <c r="O622" s="8" t="s">
        <v>189</v>
      </c>
      <c r="P622" s="6" t="s">
        <v>44</v>
      </c>
      <c r="Q622" s="8" t="s">
        <v>45</v>
      </c>
      <c r="R622" s="10" t="s">
        <v>3845</v>
      </c>
      <c r="S622" s="11"/>
      <c r="T622" s="6"/>
      <c r="U622" s="24" t="str">
        <f>HYPERLINK("https://media.infra-m.ru/2188/2188422/cover/2188422.jpg", "Обложка")</f>
        <v>Обложка</v>
      </c>
      <c r="V622" s="24" t="str">
        <f>HYPERLINK("https://znanium.ru/catalog/product/2188422", "Ознакомиться")</f>
        <v>Ознакомиться</v>
      </c>
      <c r="W622" s="8" t="s">
        <v>3846</v>
      </c>
      <c r="X622" s="6" t="s">
        <v>492</v>
      </c>
      <c r="Y622" s="6"/>
      <c r="Z622" s="6"/>
      <c r="AA622" s="6" t="s">
        <v>159</v>
      </c>
      <c r="AB622" s="8" t="s">
        <v>3847</v>
      </c>
    </row>
    <row r="623" spans="1:28" s="4" customFormat="1" ht="51.95" customHeight="1">
      <c r="A623" s="5">
        <v>0</v>
      </c>
      <c r="B623" s="6" t="s">
        <v>3848</v>
      </c>
      <c r="C623" s="7">
        <v>1588.8</v>
      </c>
      <c r="D623" s="8" t="s">
        <v>3849</v>
      </c>
      <c r="E623" s="8" t="s">
        <v>3850</v>
      </c>
      <c r="F623" s="8" t="s">
        <v>3851</v>
      </c>
      <c r="G623" s="6" t="s">
        <v>81</v>
      </c>
      <c r="H623" s="6" t="s">
        <v>99</v>
      </c>
      <c r="I623" s="8"/>
      <c r="J623" s="9">
        <v>1</v>
      </c>
      <c r="K623" s="9">
        <v>264</v>
      </c>
      <c r="L623" s="9">
        <v>2025</v>
      </c>
      <c r="M623" s="8" t="s">
        <v>3852</v>
      </c>
      <c r="N623" s="8" t="s">
        <v>42</v>
      </c>
      <c r="O623" s="8" t="s">
        <v>101</v>
      </c>
      <c r="P623" s="6" t="s">
        <v>44</v>
      </c>
      <c r="Q623" s="8" t="s">
        <v>45</v>
      </c>
      <c r="R623" s="10" t="s">
        <v>3853</v>
      </c>
      <c r="S623" s="11"/>
      <c r="T623" s="6"/>
      <c r="U623" s="24" t="str">
        <f>HYPERLINK("https://media.infra-m.ru/2180/2180480/cover/2180480.jpg", "Обложка")</f>
        <v>Обложка</v>
      </c>
      <c r="V623" s="24" t="str">
        <f>HYPERLINK("https://znanium.ru/catalog/product/1895646", "Ознакомиться")</f>
        <v>Ознакомиться</v>
      </c>
      <c r="W623" s="8" t="s">
        <v>565</v>
      </c>
      <c r="X623" s="6"/>
      <c r="Y623" s="6"/>
      <c r="Z623" s="6"/>
      <c r="AA623" s="6" t="s">
        <v>168</v>
      </c>
      <c r="AB623" s="8"/>
    </row>
    <row r="624" spans="1:28" s="4" customFormat="1" ht="51.95" customHeight="1">
      <c r="A624" s="5">
        <v>0</v>
      </c>
      <c r="B624" s="6" t="s">
        <v>3854</v>
      </c>
      <c r="C624" s="7">
        <v>1120.8</v>
      </c>
      <c r="D624" s="8" t="s">
        <v>3855</v>
      </c>
      <c r="E624" s="8" t="s">
        <v>3856</v>
      </c>
      <c r="F624" s="8" t="s">
        <v>3857</v>
      </c>
      <c r="G624" s="6" t="s">
        <v>38</v>
      </c>
      <c r="H624" s="6" t="s">
        <v>182</v>
      </c>
      <c r="I624" s="8" t="s">
        <v>40</v>
      </c>
      <c r="J624" s="9">
        <v>1</v>
      </c>
      <c r="K624" s="9">
        <v>201</v>
      </c>
      <c r="L624" s="9">
        <v>2017</v>
      </c>
      <c r="M624" s="8" t="s">
        <v>3858</v>
      </c>
      <c r="N624" s="8" t="s">
        <v>42</v>
      </c>
      <c r="O624" s="8" t="s">
        <v>65</v>
      </c>
      <c r="P624" s="6" t="s">
        <v>44</v>
      </c>
      <c r="Q624" s="8" t="s">
        <v>45</v>
      </c>
      <c r="R624" s="10" t="s">
        <v>3859</v>
      </c>
      <c r="S624" s="11"/>
      <c r="T624" s="6"/>
      <c r="U624" s="24" t="str">
        <f>HYPERLINK("https://media.infra-m.ru/0615/0615094/cover/615094.jpg", "Обложка")</f>
        <v>Обложка</v>
      </c>
      <c r="V624" s="24" t="str">
        <f>HYPERLINK("https://znanium.ru/catalog/product/615094", "Ознакомиться")</f>
        <v>Ознакомиться</v>
      </c>
      <c r="W624" s="8" t="s">
        <v>157</v>
      </c>
      <c r="X624" s="6"/>
      <c r="Y624" s="6"/>
      <c r="Z624" s="6"/>
      <c r="AA624" s="6" t="s">
        <v>94</v>
      </c>
      <c r="AB624" s="8"/>
    </row>
    <row r="625" spans="1:28" s="4" customFormat="1" ht="44.1" customHeight="1">
      <c r="A625" s="5">
        <v>0</v>
      </c>
      <c r="B625" s="6" t="s">
        <v>3860</v>
      </c>
      <c r="C625" s="7">
        <v>1085.9000000000001</v>
      </c>
      <c r="D625" s="8" t="s">
        <v>3861</v>
      </c>
      <c r="E625" s="8" t="s">
        <v>3862</v>
      </c>
      <c r="F625" s="8" t="s">
        <v>3863</v>
      </c>
      <c r="G625" s="6" t="s">
        <v>38</v>
      </c>
      <c r="H625" s="6" t="s">
        <v>571</v>
      </c>
      <c r="I625" s="8"/>
      <c r="J625" s="9">
        <v>1</v>
      </c>
      <c r="K625" s="9">
        <v>200</v>
      </c>
      <c r="L625" s="9">
        <v>2023</v>
      </c>
      <c r="M625" s="8" t="s">
        <v>3864</v>
      </c>
      <c r="N625" s="8" t="s">
        <v>42</v>
      </c>
      <c r="O625" s="8" t="s">
        <v>65</v>
      </c>
      <c r="P625" s="6" t="s">
        <v>44</v>
      </c>
      <c r="Q625" s="8" t="s">
        <v>45</v>
      </c>
      <c r="R625" s="10" t="s">
        <v>3865</v>
      </c>
      <c r="S625" s="11"/>
      <c r="T625" s="6"/>
      <c r="U625" s="24" t="str">
        <f>HYPERLINK("https://media.infra-m.ru/2038/2038318/cover/2038318.jpg", "Обложка")</f>
        <v>Обложка</v>
      </c>
      <c r="V625" s="24" t="str">
        <f>HYPERLINK("https://znanium.ru/catalog/product/1290959", "Ознакомиться")</f>
        <v>Ознакомиться</v>
      </c>
      <c r="W625" s="8" t="s">
        <v>207</v>
      </c>
      <c r="X625" s="6"/>
      <c r="Y625" s="6"/>
      <c r="Z625" s="6"/>
      <c r="AA625" s="6" t="s">
        <v>48</v>
      </c>
      <c r="AB625" s="8"/>
    </row>
    <row r="626" spans="1:28" s="4" customFormat="1" ht="51.95" customHeight="1">
      <c r="A626" s="5">
        <v>0</v>
      </c>
      <c r="B626" s="6" t="s">
        <v>3866</v>
      </c>
      <c r="C626" s="13">
        <v>924</v>
      </c>
      <c r="D626" s="8" t="s">
        <v>3867</v>
      </c>
      <c r="E626" s="8" t="s">
        <v>3868</v>
      </c>
      <c r="F626" s="8" t="s">
        <v>3869</v>
      </c>
      <c r="G626" s="6" t="s">
        <v>38</v>
      </c>
      <c r="H626" s="6" t="s">
        <v>39</v>
      </c>
      <c r="I626" s="8" t="s">
        <v>40</v>
      </c>
      <c r="J626" s="9">
        <v>1</v>
      </c>
      <c r="K626" s="9">
        <v>162</v>
      </c>
      <c r="L626" s="9">
        <v>2024</v>
      </c>
      <c r="M626" s="8" t="s">
        <v>3870</v>
      </c>
      <c r="N626" s="8" t="s">
        <v>42</v>
      </c>
      <c r="O626" s="8" t="s">
        <v>246</v>
      </c>
      <c r="P626" s="6" t="s">
        <v>44</v>
      </c>
      <c r="Q626" s="8" t="s">
        <v>45</v>
      </c>
      <c r="R626" s="10" t="s">
        <v>3871</v>
      </c>
      <c r="S626" s="11"/>
      <c r="T626" s="6"/>
      <c r="U626" s="24" t="str">
        <f>HYPERLINK("https://media.infra-m.ru/2080/2080733/cover/2080733.jpg", "Обложка")</f>
        <v>Обложка</v>
      </c>
      <c r="V626" s="24" t="str">
        <f>HYPERLINK("https://znanium.ru/catalog/product/2080733", "Ознакомиться")</f>
        <v>Ознакомиться</v>
      </c>
      <c r="W626" s="8" t="s">
        <v>3872</v>
      </c>
      <c r="X626" s="6"/>
      <c r="Y626" s="6"/>
      <c r="Z626" s="6"/>
      <c r="AA626" s="6" t="s">
        <v>111</v>
      </c>
      <c r="AB626" s="8"/>
    </row>
    <row r="627" spans="1:28" s="4" customFormat="1" ht="51.95" customHeight="1">
      <c r="A627" s="5">
        <v>0</v>
      </c>
      <c r="B627" s="6" t="s">
        <v>3873</v>
      </c>
      <c r="C627" s="13">
        <v>672</v>
      </c>
      <c r="D627" s="8" t="s">
        <v>3874</v>
      </c>
      <c r="E627" s="8" t="s">
        <v>3875</v>
      </c>
      <c r="F627" s="8" t="s">
        <v>3876</v>
      </c>
      <c r="G627" s="6" t="s">
        <v>38</v>
      </c>
      <c r="H627" s="6" t="s">
        <v>571</v>
      </c>
      <c r="I627" s="8"/>
      <c r="J627" s="9">
        <v>1</v>
      </c>
      <c r="K627" s="9">
        <v>124</v>
      </c>
      <c r="L627" s="9">
        <v>2023</v>
      </c>
      <c r="M627" s="8" t="s">
        <v>3877</v>
      </c>
      <c r="N627" s="8" t="s">
        <v>42</v>
      </c>
      <c r="O627" s="8" t="s">
        <v>189</v>
      </c>
      <c r="P627" s="6" t="s">
        <v>44</v>
      </c>
      <c r="Q627" s="8" t="s">
        <v>45</v>
      </c>
      <c r="R627" s="10" t="s">
        <v>3878</v>
      </c>
      <c r="S627" s="11"/>
      <c r="T627" s="6"/>
      <c r="U627" s="24" t="str">
        <f>HYPERLINK("https://media.infra-m.ru/1912/1912396/cover/1912396.jpg", "Обложка")</f>
        <v>Обложка</v>
      </c>
      <c r="V627" s="24" t="str">
        <f>HYPERLINK("https://znanium.ru/catalog/product/1912396", "Ознакомиться")</f>
        <v>Ознакомиться</v>
      </c>
      <c r="W627" s="8" t="s">
        <v>509</v>
      </c>
      <c r="X627" s="6"/>
      <c r="Y627" s="6"/>
      <c r="Z627" s="6"/>
      <c r="AA627" s="6" t="s">
        <v>68</v>
      </c>
      <c r="AB627" s="8"/>
    </row>
    <row r="628" spans="1:28" s="4" customFormat="1" ht="51.95" customHeight="1">
      <c r="A628" s="5">
        <v>0</v>
      </c>
      <c r="B628" s="6" t="s">
        <v>3879</v>
      </c>
      <c r="C628" s="7">
        <v>3900</v>
      </c>
      <c r="D628" s="8" t="s">
        <v>3880</v>
      </c>
      <c r="E628" s="8" t="s">
        <v>3881</v>
      </c>
      <c r="F628" s="8" t="s">
        <v>3882</v>
      </c>
      <c r="G628" s="6" t="s">
        <v>132</v>
      </c>
      <c r="H628" s="6" t="s">
        <v>39</v>
      </c>
      <c r="I628" s="8"/>
      <c r="J628" s="9">
        <v>1</v>
      </c>
      <c r="K628" s="9">
        <v>624</v>
      </c>
      <c r="L628" s="9">
        <v>2026</v>
      </c>
      <c r="M628" s="8" t="s">
        <v>3883</v>
      </c>
      <c r="N628" s="8" t="s">
        <v>42</v>
      </c>
      <c r="O628" s="8" t="s">
        <v>101</v>
      </c>
      <c r="P628" s="6" t="s">
        <v>44</v>
      </c>
      <c r="Q628" s="8" t="s">
        <v>3884</v>
      </c>
      <c r="R628" s="10" t="s">
        <v>3885</v>
      </c>
      <c r="S628" s="11"/>
      <c r="T628" s="6" t="s">
        <v>1080</v>
      </c>
      <c r="U628" s="24" t="str">
        <f>HYPERLINK("https://media.infra-m.ru/2223/2223793/cover/2223793.jpg", "Обложка")</f>
        <v>Обложка</v>
      </c>
      <c r="V628" s="24" t="str">
        <f>HYPERLINK("https://znanium.ru/catalog/product/2223793", "Ознакомиться")</f>
        <v>Ознакомиться</v>
      </c>
      <c r="W628" s="8" t="s">
        <v>574</v>
      </c>
      <c r="X628" s="6"/>
      <c r="Y628" s="6"/>
      <c r="Z628" s="6"/>
      <c r="AA628" s="6" t="s">
        <v>199</v>
      </c>
      <c r="AB628" s="8"/>
    </row>
    <row r="629" spans="1:28" s="4" customFormat="1" ht="51.95" customHeight="1">
      <c r="A629" s="5">
        <v>0</v>
      </c>
      <c r="B629" s="6" t="s">
        <v>3886</v>
      </c>
      <c r="C629" s="7">
        <v>1008</v>
      </c>
      <c r="D629" s="8" t="s">
        <v>3887</v>
      </c>
      <c r="E629" s="8" t="s">
        <v>3888</v>
      </c>
      <c r="F629" s="8" t="s">
        <v>3889</v>
      </c>
      <c r="G629" s="6" t="s">
        <v>38</v>
      </c>
      <c r="H629" s="6" t="s">
        <v>39</v>
      </c>
      <c r="I629" s="8" t="s">
        <v>40</v>
      </c>
      <c r="J629" s="9">
        <v>1</v>
      </c>
      <c r="K629" s="9">
        <v>160</v>
      </c>
      <c r="L629" s="9">
        <v>2025</v>
      </c>
      <c r="M629" s="8" t="s">
        <v>3890</v>
      </c>
      <c r="N629" s="8" t="s">
        <v>54</v>
      </c>
      <c r="O629" s="8" t="s">
        <v>91</v>
      </c>
      <c r="P629" s="6" t="s">
        <v>44</v>
      </c>
      <c r="Q629" s="8" t="s">
        <v>45</v>
      </c>
      <c r="R629" s="10" t="s">
        <v>3891</v>
      </c>
      <c r="S629" s="11"/>
      <c r="T629" s="6"/>
      <c r="U629" s="24" t="str">
        <f>HYPERLINK("https://media.infra-m.ru/2202/2202776/cover/2202776.jpg", "Обложка")</f>
        <v>Обложка</v>
      </c>
      <c r="V629" s="24" t="str">
        <f>HYPERLINK("https://znanium.ru/catalog/product/2202776", "Ознакомиться")</f>
        <v>Ознакомиться</v>
      </c>
      <c r="W629" s="8" t="s">
        <v>305</v>
      </c>
      <c r="X629" s="6"/>
      <c r="Y629" s="6"/>
      <c r="Z629" s="6"/>
      <c r="AA629" s="6" t="s">
        <v>377</v>
      </c>
      <c r="AB629" s="8"/>
    </row>
    <row r="630" spans="1:28" s="4" customFormat="1" ht="42" customHeight="1">
      <c r="A630" s="5">
        <v>0</v>
      </c>
      <c r="B630" s="6" t="s">
        <v>3892</v>
      </c>
      <c r="C630" s="7">
        <v>1680</v>
      </c>
      <c r="D630" s="8" t="s">
        <v>3893</v>
      </c>
      <c r="E630" s="8" t="s">
        <v>3894</v>
      </c>
      <c r="F630" s="8" t="s">
        <v>3895</v>
      </c>
      <c r="G630" s="6" t="s">
        <v>38</v>
      </c>
      <c r="H630" s="6" t="s">
        <v>39</v>
      </c>
      <c r="I630" s="8" t="s">
        <v>40</v>
      </c>
      <c r="J630" s="9">
        <v>1</v>
      </c>
      <c r="K630" s="9">
        <v>304</v>
      </c>
      <c r="L630" s="9">
        <v>2024</v>
      </c>
      <c r="M630" s="8" t="s">
        <v>3896</v>
      </c>
      <c r="N630" s="8" t="s">
        <v>284</v>
      </c>
      <c r="O630" s="8" t="s">
        <v>285</v>
      </c>
      <c r="P630" s="6" t="s">
        <v>44</v>
      </c>
      <c r="Q630" s="8" t="s">
        <v>45</v>
      </c>
      <c r="R630" s="10" t="s">
        <v>3897</v>
      </c>
      <c r="S630" s="11"/>
      <c r="T630" s="6"/>
      <c r="U630" s="24" t="str">
        <f>HYPERLINK("https://media.infra-m.ru/2106/2106743/cover/2106743.jpg", "Обложка")</f>
        <v>Обложка</v>
      </c>
      <c r="V630" s="24" t="str">
        <f>HYPERLINK("https://znanium.ru/catalog/product/2106743", "Ознакомиться")</f>
        <v>Ознакомиться</v>
      </c>
      <c r="W630" s="8" t="s">
        <v>2872</v>
      </c>
      <c r="X630" s="6"/>
      <c r="Y630" s="6"/>
      <c r="Z630" s="6"/>
      <c r="AA630" s="6" t="s">
        <v>339</v>
      </c>
      <c r="AB630" s="8"/>
    </row>
    <row r="631" spans="1:28" s="4" customFormat="1" ht="42" customHeight="1">
      <c r="A631" s="5">
        <v>0</v>
      </c>
      <c r="B631" s="6" t="s">
        <v>3898</v>
      </c>
      <c r="C631" s="7">
        <v>1176</v>
      </c>
      <c r="D631" s="8" t="s">
        <v>3899</v>
      </c>
      <c r="E631" s="8" t="s">
        <v>3900</v>
      </c>
      <c r="F631" s="8" t="s">
        <v>3901</v>
      </c>
      <c r="G631" s="6" t="s">
        <v>38</v>
      </c>
      <c r="H631" s="6" t="s">
        <v>39</v>
      </c>
      <c r="I631" s="8" t="s">
        <v>40</v>
      </c>
      <c r="J631" s="9">
        <v>1</v>
      </c>
      <c r="K631" s="9">
        <v>188</v>
      </c>
      <c r="L631" s="9">
        <v>2026</v>
      </c>
      <c r="M631" s="8" t="s">
        <v>3902</v>
      </c>
      <c r="N631" s="8" t="s">
        <v>284</v>
      </c>
      <c r="O631" s="8" t="s">
        <v>383</v>
      </c>
      <c r="P631" s="6" t="s">
        <v>44</v>
      </c>
      <c r="Q631" s="8" t="s">
        <v>45</v>
      </c>
      <c r="R631" s="10" t="s">
        <v>3903</v>
      </c>
      <c r="S631" s="11"/>
      <c r="T631" s="6"/>
      <c r="U631" s="24" t="str">
        <f>HYPERLINK("https://media.infra-m.ru/2209/2209240/cover/2209240.jpg", "Обложка")</f>
        <v>Обложка</v>
      </c>
      <c r="V631" s="24" t="str">
        <f>HYPERLINK("https://znanium.ru/catalog/product/2209240", "Ознакомиться")</f>
        <v>Ознакомиться</v>
      </c>
      <c r="W631" s="8" t="s">
        <v>516</v>
      </c>
      <c r="X631" s="6"/>
      <c r="Y631" s="6"/>
      <c r="Z631" s="6"/>
      <c r="AA631" s="6" t="s">
        <v>377</v>
      </c>
      <c r="AB631" s="8"/>
    </row>
    <row r="632" spans="1:28" s="4" customFormat="1" ht="44.1" customHeight="1">
      <c r="A632" s="5">
        <v>0</v>
      </c>
      <c r="B632" s="6" t="s">
        <v>3904</v>
      </c>
      <c r="C632" s="7">
        <v>1140</v>
      </c>
      <c r="D632" s="8" t="s">
        <v>3905</v>
      </c>
      <c r="E632" s="8" t="s">
        <v>3906</v>
      </c>
      <c r="F632" s="8" t="s">
        <v>3907</v>
      </c>
      <c r="G632" s="6" t="s">
        <v>38</v>
      </c>
      <c r="H632" s="6" t="s">
        <v>39</v>
      </c>
      <c r="I632" s="8" t="s">
        <v>40</v>
      </c>
      <c r="J632" s="9">
        <v>1</v>
      </c>
      <c r="K632" s="9">
        <v>207</v>
      </c>
      <c r="L632" s="9">
        <v>2024</v>
      </c>
      <c r="M632" s="8" t="s">
        <v>3908</v>
      </c>
      <c r="N632" s="8" t="s">
        <v>42</v>
      </c>
      <c r="O632" s="8" t="s">
        <v>101</v>
      </c>
      <c r="P632" s="6" t="s">
        <v>44</v>
      </c>
      <c r="Q632" s="8" t="s">
        <v>45</v>
      </c>
      <c r="R632" s="10" t="s">
        <v>3909</v>
      </c>
      <c r="S632" s="11"/>
      <c r="T632" s="6"/>
      <c r="U632" s="24" t="str">
        <f>HYPERLINK("https://media.infra-m.ru/2132/2132047/cover/2132047.jpg", "Обложка")</f>
        <v>Обложка</v>
      </c>
      <c r="V632" s="24" t="str">
        <f>HYPERLINK("https://znanium.ru/catalog/product/2132047", "Ознакомиться")</f>
        <v>Ознакомиться</v>
      </c>
      <c r="W632" s="8" t="s">
        <v>391</v>
      </c>
      <c r="X632" s="6"/>
      <c r="Y632" s="6"/>
      <c r="Z632" s="6"/>
      <c r="AA632" s="6" t="s">
        <v>111</v>
      </c>
      <c r="AB632" s="8"/>
    </row>
    <row r="633" spans="1:28" s="4" customFormat="1" ht="44.1" customHeight="1">
      <c r="A633" s="5">
        <v>0</v>
      </c>
      <c r="B633" s="6" t="s">
        <v>3910</v>
      </c>
      <c r="C633" s="7">
        <v>2472</v>
      </c>
      <c r="D633" s="8" t="s">
        <v>3911</v>
      </c>
      <c r="E633" s="8" t="s">
        <v>3912</v>
      </c>
      <c r="F633" s="8" t="s">
        <v>3913</v>
      </c>
      <c r="G633" s="6" t="s">
        <v>132</v>
      </c>
      <c r="H633" s="6" t="s">
        <v>39</v>
      </c>
      <c r="I633" s="8" t="s">
        <v>40</v>
      </c>
      <c r="J633" s="9">
        <v>1</v>
      </c>
      <c r="K633" s="9">
        <v>367</v>
      </c>
      <c r="L633" s="9">
        <v>2026</v>
      </c>
      <c r="M633" s="8" t="s">
        <v>3914</v>
      </c>
      <c r="N633" s="8" t="s">
        <v>42</v>
      </c>
      <c r="O633" s="8" t="s">
        <v>101</v>
      </c>
      <c r="P633" s="6" t="s">
        <v>44</v>
      </c>
      <c r="Q633" s="8" t="s">
        <v>45</v>
      </c>
      <c r="R633" s="10" t="s">
        <v>3915</v>
      </c>
      <c r="S633" s="11"/>
      <c r="T633" s="6"/>
      <c r="U633" s="24" t="str">
        <f>HYPERLINK("https://media.infra-m.ru/2217/2217163/cover/2217163.jpg", "Обложка")</f>
        <v>Обложка</v>
      </c>
      <c r="V633" s="24" t="str">
        <f>HYPERLINK("https://znanium.ru/catalog/product/2217163", "Ознакомиться")</f>
        <v>Ознакомиться</v>
      </c>
      <c r="W633" s="8" t="s">
        <v>2673</v>
      </c>
      <c r="X633" s="6" t="s">
        <v>1094</v>
      </c>
      <c r="Y633" s="6"/>
      <c r="Z633" s="6"/>
      <c r="AA633" s="6" t="s">
        <v>833</v>
      </c>
      <c r="AB633" s="8"/>
    </row>
    <row r="634" spans="1:28" s="4" customFormat="1" ht="51.95" customHeight="1">
      <c r="A634" s="5">
        <v>0</v>
      </c>
      <c r="B634" s="6" t="s">
        <v>3916</v>
      </c>
      <c r="C634" s="13">
        <v>792</v>
      </c>
      <c r="D634" s="8" t="s">
        <v>3917</v>
      </c>
      <c r="E634" s="8" t="s">
        <v>3918</v>
      </c>
      <c r="F634" s="8" t="s">
        <v>3919</v>
      </c>
      <c r="G634" s="6" t="s">
        <v>38</v>
      </c>
      <c r="H634" s="6" t="s">
        <v>39</v>
      </c>
      <c r="I634" s="8" t="s">
        <v>40</v>
      </c>
      <c r="J634" s="9">
        <v>1</v>
      </c>
      <c r="K634" s="9">
        <v>174</v>
      </c>
      <c r="L634" s="9">
        <v>2022</v>
      </c>
      <c r="M634" s="8" t="s">
        <v>3920</v>
      </c>
      <c r="N634" s="8" t="s">
        <v>54</v>
      </c>
      <c r="O634" s="8" t="s">
        <v>55</v>
      </c>
      <c r="P634" s="6" t="s">
        <v>44</v>
      </c>
      <c r="Q634" s="8" t="s">
        <v>45</v>
      </c>
      <c r="R634" s="10" t="s">
        <v>3921</v>
      </c>
      <c r="S634" s="11"/>
      <c r="T634" s="6"/>
      <c r="U634" s="24" t="str">
        <f>HYPERLINK("https://media.infra-m.ru/1735/1735161/cover/1735161.jpg", "Обложка")</f>
        <v>Обложка</v>
      </c>
      <c r="V634" s="24" t="str">
        <f>HYPERLINK("https://znanium.ru/catalog/product/1003238", "Ознакомиться")</f>
        <v>Ознакомиться</v>
      </c>
      <c r="W634" s="8" t="s">
        <v>305</v>
      </c>
      <c r="X634" s="6"/>
      <c r="Y634" s="6"/>
      <c r="Z634" s="6"/>
      <c r="AA634" s="6" t="s">
        <v>68</v>
      </c>
      <c r="AB634" s="8"/>
    </row>
    <row r="635" spans="1:28" s="4" customFormat="1" ht="44.1" customHeight="1">
      <c r="A635" s="5">
        <v>0</v>
      </c>
      <c r="B635" s="6" t="s">
        <v>3922</v>
      </c>
      <c r="C635" s="13">
        <v>784.8</v>
      </c>
      <c r="D635" s="8" t="s">
        <v>3923</v>
      </c>
      <c r="E635" s="8" t="s">
        <v>3924</v>
      </c>
      <c r="F635" s="8" t="s">
        <v>3925</v>
      </c>
      <c r="G635" s="6" t="s">
        <v>38</v>
      </c>
      <c r="H635" s="6" t="s">
        <v>39</v>
      </c>
      <c r="I635" s="8" t="s">
        <v>40</v>
      </c>
      <c r="J635" s="9">
        <v>1</v>
      </c>
      <c r="K635" s="9">
        <v>126</v>
      </c>
      <c r="L635" s="9">
        <v>2025</v>
      </c>
      <c r="M635" s="8" t="s">
        <v>3926</v>
      </c>
      <c r="N635" s="8" t="s">
        <v>284</v>
      </c>
      <c r="O635" s="8" t="s">
        <v>717</v>
      </c>
      <c r="P635" s="6" t="s">
        <v>44</v>
      </c>
      <c r="Q635" s="8" t="s">
        <v>45</v>
      </c>
      <c r="R635" s="10" t="s">
        <v>3927</v>
      </c>
      <c r="S635" s="11"/>
      <c r="T635" s="6"/>
      <c r="U635" s="24" t="str">
        <f>HYPERLINK("https://media.infra-m.ru/2198/2198276/cover/2198276.jpg", "Обложка")</f>
        <v>Обложка</v>
      </c>
      <c r="V635" s="24" t="str">
        <f>HYPERLINK("https://znanium.ru/catalog/product/1462723", "Ознакомиться")</f>
        <v>Ознакомиться</v>
      </c>
      <c r="W635" s="8" t="s">
        <v>3163</v>
      </c>
      <c r="X635" s="6"/>
      <c r="Y635" s="6"/>
      <c r="Z635" s="6"/>
      <c r="AA635" s="6" t="s">
        <v>127</v>
      </c>
      <c r="AB635" s="8"/>
    </row>
    <row r="636" spans="1:28" s="4" customFormat="1" ht="44.1" customHeight="1">
      <c r="A636" s="5">
        <v>0</v>
      </c>
      <c r="B636" s="6" t="s">
        <v>3928</v>
      </c>
      <c r="C636" s="7">
        <v>1156.8</v>
      </c>
      <c r="D636" s="8" t="s">
        <v>3929</v>
      </c>
      <c r="E636" s="8" t="s">
        <v>3930</v>
      </c>
      <c r="F636" s="8" t="s">
        <v>3931</v>
      </c>
      <c r="G636" s="6" t="s">
        <v>38</v>
      </c>
      <c r="H636" s="6" t="s">
        <v>39</v>
      </c>
      <c r="I636" s="8" t="s">
        <v>40</v>
      </c>
      <c r="J636" s="9">
        <v>1</v>
      </c>
      <c r="K636" s="9">
        <v>180</v>
      </c>
      <c r="L636" s="9">
        <v>2026</v>
      </c>
      <c r="M636" s="8" t="s">
        <v>3932</v>
      </c>
      <c r="N636" s="8" t="s">
        <v>284</v>
      </c>
      <c r="O636" s="8" t="s">
        <v>383</v>
      </c>
      <c r="P636" s="6" t="s">
        <v>44</v>
      </c>
      <c r="Q636" s="8" t="s">
        <v>45</v>
      </c>
      <c r="R636" s="10" t="s">
        <v>3933</v>
      </c>
      <c r="S636" s="11"/>
      <c r="T636" s="6"/>
      <c r="U636" s="24" t="str">
        <f>HYPERLINK("https://media.infra-m.ru/2222/2222990/cover/2222990.jpg", "Обложка")</f>
        <v>Обложка</v>
      </c>
      <c r="V636" s="24" t="str">
        <f>HYPERLINK("https://znanium.ru/catalog/product/2052391", "Ознакомиться")</f>
        <v>Ознакомиться</v>
      </c>
      <c r="W636" s="8" t="s">
        <v>3934</v>
      </c>
      <c r="X636" s="6"/>
      <c r="Y636" s="6"/>
      <c r="Z636" s="6"/>
      <c r="AA636" s="6" t="s">
        <v>168</v>
      </c>
      <c r="AB636" s="8"/>
    </row>
    <row r="637" spans="1:28" s="4" customFormat="1" ht="42" customHeight="1">
      <c r="A637" s="5">
        <v>0</v>
      </c>
      <c r="B637" s="6" t="s">
        <v>3935</v>
      </c>
      <c r="C637" s="7">
        <v>1397.9</v>
      </c>
      <c r="D637" s="8" t="s">
        <v>3936</v>
      </c>
      <c r="E637" s="8" t="s">
        <v>3937</v>
      </c>
      <c r="F637" s="8" t="s">
        <v>3938</v>
      </c>
      <c r="G637" s="6" t="s">
        <v>38</v>
      </c>
      <c r="H637" s="6" t="s">
        <v>182</v>
      </c>
      <c r="I637" s="8" t="s">
        <v>1216</v>
      </c>
      <c r="J637" s="9">
        <v>1</v>
      </c>
      <c r="K637" s="9">
        <v>333</v>
      </c>
      <c r="L637" s="9">
        <v>2020</v>
      </c>
      <c r="M637" s="8" t="s">
        <v>3939</v>
      </c>
      <c r="N637" s="8" t="s">
        <v>284</v>
      </c>
      <c r="O637" s="8" t="s">
        <v>383</v>
      </c>
      <c r="P637" s="6" t="s">
        <v>44</v>
      </c>
      <c r="Q637" s="8" t="s">
        <v>45</v>
      </c>
      <c r="R637" s="10" t="s">
        <v>3940</v>
      </c>
      <c r="S637" s="11"/>
      <c r="T637" s="6"/>
      <c r="U637" s="24" t="str">
        <f>HYPERLINK("https://media.infra-m.ru/1084/1084326/cover/1084326.jpg", "Обложка")</f>
        <v>Обложка</v>
      </c>
      <c r="V637" s="24" t="str">
        <f>HYPERLINK("https://znanium.ru/catalog/product/404678", "Ознакомиться")</f>
        <v>Ознакомиться</v>
      </c>
      <c r="W637" s="8" t="s">
        <v>3941</v>
      </c>
      <c r="X637" s="6"/>
      <c r="Y637" s="6"/>
      <c r="Z637" s="6"/>
      <c r="AA637" s="6" t="s">
        <v>127</v>
      </c>
      <c r="AB637" s="8"/>
    </row>
    <row r="638" spans="1:28" s="4" customFormat="1" ht="44.1" customHeight="1">
      <c r="A638" s="5">
        <v>0</v>
      </c>
      <c r="B638" s="6" t="s">
        <v>3942</v>
      </c>
      <c r="C638" s="13">
        <v>672</v>
      </c>
      <c r="D638" s="8" t="s">
        <v>3943</v>
      </c>
      <c r="E638" s="8" t="s">
        <v>3944</v>
      </c>
      <c r="F638" s="8" t="s">
        <v>3945</v>
      </c>
      <c r="G638" s="6" t="s">
        <v>38</v>
      </c>
      <c r="H638" s="6" t="s">
        <v>39</v>
      </c>
      <c r="I638" s="8" t="s">
        <v>40</v>
      </c>
      <c r="J638" s="9">
        <v>1</v>
      </c>
      <c r="K638" s="9">
        <v>120</v>
      </c>
      <c r="L638" s="9">
        <v>2024</v>
      </c>
      <c r="M638" s="8" t="s">
        <v>3946</v>
      </c>
      <c r="N638" s="8" t="s">
        <v>284</v>
      </c>
      <c r="O638" s="8" t="s">
        <v>1549</v>
      </c>
      <c r="P638" s="6" t="s">
        <v>44</v>
      </c>
      <c r="Q638" s="8" t="s">
        <v>45</v>
      </c>
      <c r="R638" s="10" t="s">
        <v>3947</v>
      </c>
      <c r="S638" s="11"/>
      <c r="T638" s="6"/>
      <c r="U638" s="24" t="str">
        <f>HYPERLINK("https://media.infra-m.ru/2105/2105343/cover/2105343.jpg", "Обложка")</f>
        <v>Обложка</v>
      </c>
      <c r="V638" s="24" t="str">
        <f>HYPERLINK("https://znanium.ru/catalog/product/2105343", "Ознакомиться")</f>
        <v>Ознакомиться</v>
      </c>
      <c r="W638" s="8" t="s">
        <v>3948</v>
      </c>
      <c r="X638" s="6"/>
      <c r="Y638" s="6"/>
      <c r="Z638" s="6"/>
      <c r="AA638" s="6" t="s">
        <v>369</v>
      </c>
      <c r="AB638" s="8"/>
    </row>
    <row r="639" spans="1:28" s="4" customFormat="1" ht="42" customHeight="1">
      <c r="A639" s="5">
        <v>0</v>
      </c>
      <c r="B639" s="6" t="s">
        <v>3949</v>
      </c>
      <c r="C639" s="13">
        <v>780</v>
      </c>
      <c r="D639" s="8" t="s">
        <v>3950</v>
      </c>
      <c r="E639" s="8" t="s">
        <v>3951</v>
      </c>
      <c r="F639" s="8" t="s">
        <v>3952</v>
      </c>
      <c r="G639" s="6" t="s">
        <v>38</v>
      </c>
      <c r="H639" s="6" t="s">
        <v>39</v>
      </c>
      <c r="I639" s="8" t="s">
        <v>40</v>
      </c>
      <c r="J639" s="9">
        <v>1</v>
      </c>
      <c r="K639" s="9">
        <v>162</v>
      </c>
      <c r="L639" s="9">
        <v>2020</v>
      </c>
      <c r="M639" s="8" t="s">
        <v>3953</v>
      </c>
      <c r="N639" s="8" t="s">
        <v>42</v>
      </c>
      <c r="O639" s="8" t="s">
        <v>189</v>
      </c>
      <c r="P639" s="6" t="s">
        <v>44</v>
      </c>
      <c r="Q639" s="8" t="s">
        <v>45</v>
      </c>
      <c r="R639" s="10" t="s">
        <v>3954</v>
      </c>
      <c r="S639" s="11"/>
      <c r="T639" s="6"/>
      <c r="U639" s="24" t="str">
        <f>HYPERLINK("https://media.infra-m.ru/1080/1080408/cover/1080408.jpg", "Обложка")</f>
        <v>Обложка</v>
      </c>
      <c r="V639" s="24" t="str">
        <f>HYPERLINK("https://znanium.ru/catalog/product/1080408", "Ознакомиться")</f>
        <v>Ознакомиться</v>
      </c>
      <c r="W639" s="8" t="s">
        <v>3955</v>
      </c>
      <c r="X639" s="6"/>
      <c r="Y639" s="6"/>
      <c r="Z639" s="6"/>
      <c r="AA639" s="6" t="s">
        <v>168</v>
      </c>
      <c r="AB639" s="8" t="s">
        <v>3455</v>
      </c>
    </row>
    <row r="640" spans="1:28" s="4" customFormat="1" ht="42" customHeight="1">
      <c r="A640" s="5">
        <v>0</v>
      </c>
      <c r="B640" s="6" t="s">
        <v>3956</v>
      </c>
      <c r="C640" s="7">
        <v>1308</v>
      </c>
      <c r="D640" s="8" t="s">
        <v>3957</v>
      </c>
      <c r="E640" s="8" t="s">
        <v>3958</v>
      </c>
      <c r="F640" s="8" t="s">
        <v>2154</v>
      </c>
      <c r="G640" s="6" t="s">
        <v>81</v>
      </c>
      <c r="H640" s="6" t="s">
        <v>39</v>
      </c>
      <c r="I640" s="8" t="s">
        <v>40</v>
      </c>
      <c r="J640" s="9">
        <v>1</v>
      </c>
      <c r="K640" s="9">
        <v>243</v>
      </c>
      <c r="L640" s="9">
        <v>2023</v>
      </c>
      <c r="M640" s="8" t="s">
        <v>3959</v>
      </c>
      <c r="N640" s="8" t="s">
        <v>220</v>
      </c>
      <c r="O640" s="8" t="s">
        <v>296</v>
      </c>
      <c r="P640" s="6" t="s">
        <v>44</v>
      </c>
      <c r="Q640" s="8" t="s">
        <v>45</v>
      </c>
      <c r="R640" s="10" t="s">
        <v>3960</v>
      </c>
      <c r="S640" s="11"/>
      <c r="T640" s="6"/>
      <c r="U640" s="24" t="str">
        <f>HYPERLINK("https://media.infra-m.ru/1928/1928403/cover/1928403.jpg", "Обложка")</f>
        <v>Обложка</v>
      </c>
      <c r="V640" s="24" t="str">
        <f>HYPERLINK("https://znanium.ru/catalog/product/1928403", "Ознакомиться")</f>
        <v>Ознакомиться</v>
      </c>
      <c r="W640" s="8" t="s">
        <v>2157</v>
      </c>
      <c r="X640" s="6"/>
      <c r="Y640" s="6"/>
      <c r="Z640" s="6"/>
      <c r="AA640" s="6" t="s">
        <v>76</v>
      </c>
      <c r="AB640" s="8"/>
    </row>
    <row r="641" spans="1:28" s="4" customFormat="1" ht="51.95" customHeight="1">
      <c r="A641" s="5">
        <v>0</v>
      </c>
      <c r="B641" s="6" t="s">
        <v>3961</v>
      </c>
      <c r="C641" s="7">
        <v>1980</v>
      </c>
      <c r="D641" s="8" t="s">
        <v>3962</v>
      </c>
      <c r="E641" s="8" t="s">
        <v>3963</v>
      </c>
      <c r="F641" s="8" t="s">
        <v>3964</v>
      </c>
      <c r="G641" s="6" t="s">
        <v>38</v>
      </c>
      <c r="H641" s="6" t="s">
        <v>39</v>
      </c>
      <c r="I641" s="8" t="s">
        <v>40</v>
      </c>
      <c r="J641" s="9">
        <v>1</v>
      </c>
      <c r="K641" s="9">
        <v>414</v>
      </c>
      <c r="L641" s="9">
        <v>2022</v>
      </c>
      <c r="M641" s="8" t="s">
        <v>3965</v>
      </c>
      <c r="N641" s="8" t="s">
        <v>42</v>
      </c>
      <c r="O641" s="8" t="s">
        <v>189</v>
      </c>
      <c r="P641" s="6" t="s">
        <v>44</v>
      </c>
      <c r="Q641" s="8" t="s">
        <v>45</v>
      </c>
      <c r="R641" s="10" t="s">
        <v>3966</v>
      </c>
      <c r="S641" s="11"/>
      <c r="T641" s="6"/>
      <c r="U641" s="24" t="str">
        <f>HYPERLINK("https://media.infra-m.ru/1854/1854923/cover/1854923.jpg", "Обложка")</f>
        <v>Обложка</v>
      </c>
      <c r="V641" s="24" t="str">
        <f>HYPERLINK("https://znanium.ru/catalog/product/1854923", "Ознакомиться")</f>
        <v>Ознакомиться</v>
      </c>
      <c r="W641" s="8" t="s">
        <v>3715</v>
      </c>
      <c r="X641" s="6"/>
      <c r="Y641" s="6"/>
      <c r="Z641" s="6"/>
      <c r="AA641" s="6" t="s">
        <v>339</v>
      </c>
      <c r="AB641" s="8"/>
    </row>
    <row r="642" spans="1:28" s="4" customFormat="1" ht="44.1" customHeight="1">
      <c r="A642" s="5">
        <v>0</v>
      </c>
      <c r="B642" s="6" t="s">
        <v>3967</v>
      </c>
      <c r="C642" s="7">
        <v>1020</v>
      </c>
      <c r="D642" s="8" t="s">
        <v>3968</v>
      </c>
      <c r="E642" s="8" t="s">
        <v>3969</v>
      </c>
      <c r="F642" s="8" t="s">
        <v>3970</v>
      </c>
      <c r="G642" s="6" t="s">
        <v>81</v>
      </c>
      <c r="H642" s="6" t="s">
        <v>39</v>
      </c>
      <c r="I642" s="8" t="s">
        <v>40</v>
      </c>
      <c r="J642" s="9">
        <v>1</v>
      </c>
      <c r="K642" s="9">
        <v>199</v>
      </c>
      <c r="L642" s="9">
        <v>2022</v>
      </c>
      <c r="M642" s="8" t="s">
        <v>3971</v>
      </c>
      <c r="N642" s="8" t="s">
        <v>42</v>
      </c>
      <c r="O642" s="8" t="s">
        <v>155</v>
      </c>
      <c r="P642" s="6" t="s">
        <v>44</v>
      </c>
      <c r="Q642" s="8" t="s">
        <v>45</v>
      </c>
      <c r="R642" s="10" t="s">
        <v>3972</v>
      </c>
      <c r="S642" s="11"/>
      <c r="T642" s="6"/>
      <c r="U642" s="24" t="str">
        <f>HYPERLINK("https://media.infra-m.ru/1815/1815963/cover/1815963.jpg", "Обложка")</f>
        <v>Обложка</v>
      </c>
      <c r="V642" s="24" t="str">
        <f>HYPERLINK("https://znanium.ru/catalog/product/1815963", "Ознакомиться")</f>
        <v>Ознакомиться</v>
      </c>
      <c r="W642" s="8" t="s">
        <v>3973</v>
      </c>
      <c r="X642" s="6"/>
      <c r="Y642" s="6"/>
      <c r="Z642" s="6"/>
      <c r="AA642" s="6" t="s">
        <v>68</v>
      </c>
      <c r="AB642" s="8"/>
    </row>
    <row r="643" spans="1:28" s="4" customFormat="1" ht="44.1" customHeight="1">
      <c r="A643" s="5">
        <v>0</v>
      </c>
      <c r="B643" s="6" t="s">
        <v>3974</v>
      </c>
      <c r="C643" s="13">
        <v>720</v>
      </c>
      <c r="D643" s="8" t="s">
        <v>3975</v>
      </c>
      <c r="E643" s="8" t="s">
        <v>3976</v>
      </c>
      <c r="F643" s="8" t="s">
        <v>3977</v>
      </c>
      <c r="G643" s="6" t="s">
        <v>38</v>
      </c>
      <c r="H643" s="6" t="s">
        <v>39</v>
      </c>
      <c r="I643" s="8" t="s">
        <v>40</v>
      </c>
      <c r="J643" s="9">
        <v>1</v>
      </c>
      <c r="K643" s="9">
        <v>132</v>
      </c>
      <c r="L643" s="9">
        <v>2023</v>
      </c>
      <c r="M643" s="8" t="s">
        <v>3978</v>
      </c>
      <c r="N643" s="8" t="s">
        <v>220</v>
      </c>
      <c r="O643" s="8" t="s">
        <v>252</v>
      </c>
      <c r="P643" s="6" t="s">
        <v>44</v>
      </c>
      <c r="Q643" s="8" t="s">
        <v>45</v>
      </c>
      <c r="R643" s="10" t="s">
        <v>3979</v>
      </c>
      <c r="S643" s="11"/>
      <c r="T643" s="6"/>
      <c r="U643" s="24" t="str">
        <f>HYPERLINK("https://media.infra-m.ru/1937/1937955/cover/1937955.jpg", "Обложка")</f>
        <v>Обложка</v>
      </c>
      <c r="V643" s="24" t="str">
        <f>HYPERLINK("https://znanium.ru/catalog/product/1937955", "Ознакомиться")</f>
        <v>Ознакомиться</v>
      </c>
      <c r="W643" s="8" t="s">
        <v>3872</v>
      </c>
      <c r="X643" s="6"/>
      <c r="Y643" s="6"/>
      <c r="Z643" s="6"/>
      <c r="AA643" s="6" t="s">
        <v>68</v>
      </c>
      <c r="AB643" s="8"/>
    </row>
    <row r="644" spans="1:28" s="4" customFormat="1" ht="42" customHeight="1">
      <c r="A644" s="5">
        <v>0</v>
      </c>
      <c r="B644" s="6" t="s">
        <v>3980</v>
      </c>
      <c r="C644" s="13">
        <v>916.8</v>
      </c>
      <c r="D644" s="8" t="s">
        <v>3981</v>
      </c>
      <c r="E644" s="8" t="s">
        <v>3982</v>
      </c>
      <c r="F644" s="8" t="s">
        <v>3983</v>
      </c>
      <c r="G644" s="6" t="s">
        <v>81</v>
      </c>
      <c r="H644" s="6" t="s">
        <v>571</v>
      </c>
      <c r="I644" s="8"/>
      <c r="J644" s="9">
        <v>1</v>
      </c>
      <c r="K644" s="9">
        <v>152</v>
      </c>
      <c r="L644" s="9">
        <v>2024</v>
      </c>
      <c r="M644" s="8" t="s">
        <v>3984</v>
      </c>
      <c r="N644" s="8" t="s">
        <v>42</v>
      </c>
      <c r="O644" s="8" t="s">
        <v>246</v>
      </c>
      <c r="P644" s="6" t="s">
        <v>44</v>
      </c>
      <c r="Q644" s="8" t="s">
        <v>45</v>
      </c>
      <c r="R644" s="10" t="s">
        <v>3985</v>
      </c>
      <c r="S644" s="11"/>
      <c r="T644" s="6"/>
      <c r="U644" s="24" t="str">
        <f>HYPERLINK("https://media.infra-m.ru/2162/2162464/cover/2162464.jpg", "Обложка")</f>
        <v>Обложка</v>
      </c>
      <c r="V644" s="12"/>
      <c r="W644" s="8" t="s">
        <v>167</v>
      </c>
      <c r="X644" s="6"/>
      <c r="Y644" s="6"/>
      <c r="Z644" s="6"/>
      <c r="AA644" s="6" t="s">
        <v>199</v>
      </c>
      <c r="AB644" s="8"/>
    </row>
    <row r="645" spans="1:28" s="4" customFormat="1" ht="42" customHeight="1">
      <c r="A645" s="5">
        <v>0</v>
      </c>
      <c r="B645" s="6" t="s">
        <v>3986</v>
      </c>
      <c r="C645" s="7">
        <v>1104</v>
      </c>
      <c r="D645" s="8" t="s">
        <v>3987</v>
      </c>
      <c r="E645" s="8" t="s">
        <v>3988</v>
      </c>
      <c r="F645" s="8" t="s">
        <v>3989</v>
      </c>
      <c r="G645" s="6" t="s">
        <v>132</v>
      </c>
      <c r="H645" s="6" t="s">
        <v>39</v>
      </c>
      <c r="I645" s="8" t="s">
        <v>40</v>
      </c>
      <c r="J645" s="9">
        <v>1</v>
      </c>
      <c r="K645" s="9">
        <v>268</v>
      </c>
      <c r="L645" s="9">
        <v>2019</v>
      </c>
      <c r="M645" s="8" t="s">
        <v>3990</v>
      </c>
      <c r="N645" s="8" t="s">
        <v>42</v>
      </c>
      <c r="O645" s="8" t="s">
        <v>246</v>
      </c>
      <c r="P645" s="6" t="s">
        <v>44</v>
      </c>
      <c r="Q645" s="8" t="s">
        <v>45</v>
      </c>
      <c r="R645" s="10" t="s">
        <v>3991</v>
      </c>
      <c r="S645" s="11"/>
      <c r="T645" s="6"/>
      <c r="U645" s="24" t="str">
        <f>HYPERLINK("https://media.infra-m.ru/1002/1002821/cover/1002821.jpg", "Обложка")</f>
        <v>Обложка</v>
      </c>
      <c r="V645" s="24" t="str">
        <f>HYPERLINK("https://znanium.ru/catalog/product/1002821", "Ознакомиться")</f>
        <v>Ознакомиться</v>
      </c>
      <c r="W645" s="8" t="s">
        <v>305</v>
      </c>
      <c r="X645" s="6"/>
      <c r="Y645" s="6"/>
      <c r="Z645" s="6"/>
      <c r="AA645" s="6" t="s">
        <v>76</v>
      </c>
      <c r="AB645" s="8"/>
    </row>
    <row r="646" spans="1:28" s="4" customFormat="1" ht="51.95" customHeight="1">
      <c r="A646" s="5">
        <v>0</v>
      </c>
      <c r="B646" s="6" t="s">
        <v>3992</v>
      </c>
      <c r="C646" s="7">
        <v>1068</v>
      </c>
      <c r="D646" s="8" t="s">
        <v>3993</v>
      </c>
      <c r="E646" s="8" t="s">
        <v>3994</v>
      </c>
      <c r="F646" s="8" t="s">
        <v>3995</v>
      </c>
      <c r="G646" s="6" t="s">
        <v>38</v>
      </c>
      <c r="H646" s="6" t="s">
        <v>182</v>
      </c>
      <c r="I646" s="8" t="s">
        <v>40</v>
      </c>
      <c r="J646" s="9">
        <v>1</v>
      </c>
      <c r="K646" s="9">
        <v>228</v>
      </c>
      <c r="L646" s="9">
        <v>2022</v>
      </c>
      <c r="M646" s="8" t="s">
        <v>3996</v>
      </c>
      <c r="N646" s="8" t="s">
        <v>42</v>
      </c>
      <c r="O646" s="8" t="s">
        <v>1035</v>
      </c>
      <c r="P646" s="6" t="s">
        <v>44</v>
      </c>
      <c r="Q646" s="8" t="s">
        <v>45</v>
      </c>
      <c r="R646" s="10" t="s">
        <v>3997</v>
      </c>
      <c r="S646" s="11"/>
      <c r="T646" s="6"/>
      <c r="U646" s="24" t="str">
        <f>HYPERLINK("https://media.infra-m.ru/1863/1863806/cover/1863806.jpg", "Обложка")</f>
        <v>Обложка</v>
      </c>
      <c r="V646" s="24" t="str">
        <f>HYPERLINK("https://znanium.ru/catalog/product/1863806", "Ознакомиться")</f>
        <v>Ознакомиться</v>
      </c>
      <c r="W646" s="8"/>
      <c r="X646" s="6"/>
      <c r="Y646" s="6"/>
      <c r="Z646" s="6"/>
      <c r="AA646" s="6" t="s">
        <v>377</v>
      </c>
      <c r="AB646" s="8"/>
    </row>
    <row r="647" spans="1:28" s="4" customFormat="1" ht="42" customHeight="1">
      <c r="A647" s="5">
        <v>0</v>
      </c>
      <c r="B647" s="6" t="s">
        <v>3998</v>
      </c>
      <c r="C647" s="7">
        <v>1204.8</v>
      </c>
      <c r="D647" s="8" t="s">
        <v>3999</v>
      </c>
      <c r="E647" s="8" t="s">
        <v>4000</v>
      </c>
      <c r="F647" s="8" t="s">
        <v>697</v>
      </c>
      <c r="G647" s="6" t="s">
        <v>38</v>
      </c>
      <c r="H647" s="6" t="s">
        <v>39</v>
      </c>
      <c r="I647" s="8" t="s">
        <v>40</v>
      </c>
      <c r="J647" s="9">
        <v>1</v>
      </c>
      <c r="K647" s="9">
        <v>219</v>
      </c>
      <c r="L647" s="9">
        <v>2024</v>
      </c>
      <c r="M647" s="8" t="s">
        <v>4001</v>
      </c>
      <c r="N647" s="8" t="s">
        <v>54</v>
      </c>
      <c r="O647" s="8" t="s">
        <v>91</v>
      </c>
      <c r="P647" s="6" t="s">
        <v>44</v>
      </c>
      <c r="Q647" s="8" t="s">
        <v>45</v>
      </c>
      <c r="R647" s="10" t="s">
        <v>3174</v>
      </c>
      <c r="S647" s="11"/>
      <c r="T647" s="6"/>
      <c r="U647" s="24" t="str">
        <f>HYPERLINK("https://media.infra-m.ru/2108/2108511/cover/2108511.jpg", "Обложка")</f>
        <v>Обложка</v>
      </c>
      <c r="V647" s="24" t="str">
        <f>HYPERLINK("https://znanium.ru/catalog/product/2108511", "Ознакомиться")</f>
        <v>Ознакомиться</v>
      </c>
      <c r="W647" s="8" t="s">
        <v>699</v>
      </c>
      <c r="X647" s="6"/>
      <c r="Y647" s="6"/>
      <c r="Z647" s="6"/>
      <c r="AA647" s="6" t="s">
        <v>111</v>
      </c>
      <c r="AB647" s="8"/>
    </row>
    <row r="648" spans="1:28" s="4" customFormat="1" ht="42" customHeight="1">
      <c r="A648" s="5">
        <v>0</v>
      </c>
      <c r="B648" s="6" t="s">
        <v>4002</v>
      </c>
      <c r="C648" s="7">
        <v>1596</v>
      </c>
      <c r="D648" s="8" t="s">
        <v>4003</v>
      </c>
      <c r="E648" s="8" t="s">
        <v>4004</v>
      </c>
      <c r="F648" s="8" t="s">
        <v>4005</v>
      </c>
      <c r="G648" s="6" t="s">
        <v>38</v>
      </c>
      <c r="H648" s="6" t="s">
        <v>39</v>
      </c>
      <c r="I648" s="8" t="s">
        <v>40</v>
      </c>
      <c r="J648" s="9">
        <v>1</v>
      </c>
      <c r="K648" s="9">
        <v>282</v>
      </c>
      <c r="L648" s="9">
        <v>2024</v>
      </c>
      <c r="M648" s="8" t="s">
        <v>4006</v>
      </c>
      <c r="N648" s="8" t="s">
        <v>42</v>
      </c>
      <c r="O648" s="8" t="s">
        <v>101</v>
      </c>
      <c r="P648" s="6" t="s">
        <v>44</v>
      </c>
      <c r="Q648" s="8" t="s">
        <v>45</v>
      </c>
      <c r="R648" s="10" t="s">
        <v>2490</v>
      </c>
      <c r="S648" s="11"/>
      <c r="T648" s="6"/>
      <c r="U648" s="24" t="str">
        <f>HYPERLINK("https://media.infra-m.ru/2124/2124788/cover/2124788.jpg", "Обложка")</f>
        <v>Обложка</v>
      </c>
      <c r="V648" s="24" t="str">
        <f>HYPERLINK("https://znanium.ru/catalog/product/2124788", "Ознакомиться")</f>
        <v>Ознакомиться</v>
      </c>
      <c r="W648" s="8" t="s">
        <v>1678</v>
      </c>
      <c r="X648" s="6"/>
      <c r="Y648" s="6"/>
      <c r="Z648" s="6"/>
      <c r="AA648" s="6" t="s">
        <v>199</v>
      </c>
      <c r="AB648" s="8"/>
    </row>
    <row r="649" spans="1:28" s="4" customFormat="1" ht="42" customHeight="1">
      <c r="A649" s="5">
        <v>0</v>
      </c>
      <c r="B649" s="6" t="s">
        <v>4007</v>
      </c>
      <c r="C649" s="7">
        <v>1504.8</v>
      </c>
      <c r="D649" s="8" t="s">
        <v>4008</v>
      </c>
      <c r="E649" s="8" t="s">
        <v>4009</v>
      </c>
      <c r="F649" s="8" t="s">
        <v>4010</v>
      </c>
      <c r="G649" s="6" t="s">
        <v>81</v>
      </c>
      <c r="H649" s="6" t="s">
        <v>99</v>
      </c>
      <c r="I649" s="8"/>
      <c r="J649" s="9">
        <v>1</v>
      </c>
      <c r="K649" s="9">
        <v>240</v>
      </c>
      <c r="L649" s="9">
        <v>2025</v>
      </c>
      <c r="M649" s="8" t="s">
        <v>4011</v>
      </c>
      <c r="N649" s="8" t="s">
        <v>54</v>
      </c>
      <c r="O649" s="8" t="s">
        <v>91</v>
      </c>
      <c r="P649" s="6" t="s">
        <v>44</v>
      </c>
      <c r="Q649" s="8" t="s">
        <v>45</v>
      </c>
      <c r="R649" s="10" t="s">
        <v>4012</v>
      </c>
      <c r="S649" s="11"/>
      <c r="T649" s="6"/>
      <c r="U649" s="24" t="str">
        <f>HYPERLINK("https://media.infra-m.ru/2192/2192552/cover/2192552.jpg", "Обложка")</f>
        <v>Обложка</v>
      </c>
      <c r="V649" s="24" t="str">
        <f>HYPERLINK("https://znanium.ru/catalog/product/2124359", "Ознакомиться")</f>
        <v>Ознакомиться</v>
      </c>
      <c r="W649" s="8" t="s">
        <v>418</v>
      </c>
      <c r="X649" s="6"/>
      <c r="Y649" s="6"/>
      <c r="Z649" s="6"/>
      <c r="AA649" s="6" t="s">
        <v>369</v>
      </c>
      <c r="AB649" s="8"/>
    </row>
    <row r="650" spans="1:28" s="4" customFormat="1" ht="51.95" customHeight="1">
      <c r="A650" s="5">
        <v>0</v>
      </c>
      <c r="B650" s="6" t="s">
        <v>4013</v>
      </c>
      <c r="C650" s="7">
        <v>1164</v>
      </c>
      <c r="D650" s="8" t="s">
        <v>4014</v>
      </c>
      <c r="E650" s="8" t="s">
        <v>4015</v>
      </c>
      <c r="F650" s="8" t="s">
        <v>4016</v>
      </c>
      <c r="G650" s="6" t="s">
        <v>81</v>
      </c>
      <c r="H650" s="6" t="s">
        <v>39</v>
      </c>
      <c r="I650" s="8" t="s">
        <v>164</v>
      </c>
      <c r="J650" s="9">
        <v>1</v>
      </c>
      <c r="K650" s="9">
        <v>184</v>
      </c>
      <c r="L650" s="9">
        <v>2025</v>
      </c>
      <c r="M650" s="8" t="s">
        <v>4017</v>
      </c>
      <c r="N650" s="8" t="s">
        <v>42</v>
      </c>
      <c r="O650" s="8" t="s">
        <v>189</v>
      </c>
      <c r="P650" s="6" t="s">
        <v>44</v>
      </c>
      <c r="Q650" s="8" t="s">
        <v>45</v>
      </c>
      <c r="R650" s="10" t="s">
        <v>4018</v>
      </c>
      <c r="S650" s="11"/>
      <c r="T650" s="6"/>
      <c r="U650" s="24" t="str">
        <f>HYPERLINK("https://media.infra-m.ru/2200/2200729/cover/2200729.jpg", "Обложка")</f>
        <v>Обложка</v>
      </c>
      <c r="V650" s="24" t="str">
        <f>HYPERLINK("https://znanium.ru/catalog/product/2200729", "Ознакомиться")</f>
        <v>Ознакомиться</v>
      </c>
      <c r="W650" s="8" t="s">
        <v>167</v>
      </c>
      <c r="X650" s="6"/>
      <c r="Y650" s="6"/>
      <c r="Z650" s="6"/>
      <c r="AA650" s="6" t="s">
        <v>58</v>
      </c>
      <c r="AB650" s="8"/>
    </row>
    <row r="651" spans="1:28" s="4" customFormat="1" ht="42" customHeight="1">
      <c r="A651" s="5">
        <v>0</v>
      </c>
      <c r="B651" s="6" t="s">
        <v>4019</v>
      </c>
      <c r="C651" s="7">
        <v>2752.8</v>
      </c>
      <c r="D651" s="8" t="s">
        <v>4020</v>
      </c>
      <c r="E651" s="8" t="s">
        <v>4021</v>
      </c>
      <c r="F651" s="8" t="s">
        <v>4022</v>
      </c>
      <c r="G651" s="6" t="s">
        <v>132</v>
      </c>
      <c r="H651" s="6" t="s">
        <v>571</v>
      </c>
      <c r="I651" s="8"/>
      <c r="J651" s="9">
        <v>1</v>
      </c>
      <c r="K651" s="9">
        <v>576</v>
      </c>
      <c r="L651" s="9">
        <v>2024</v>
      </c>
      <c r="M651" s="8" t="s">
        <v>4023</v>
      </c>
      <c r="N651" s="8" t="s">
        <v>42</v>
      </c>
      <c r="O651" s="8" t="s">
        <v>43</v>
      </c>
      <c r="P651" s="6" t="s">
        <v>1057</v>
      </c>
      <c r="Q651" s="8" t="s">
        <v>45</v>
      </c>
      <c r="R651" s="10" t="s">
        <v>4024</v>
      </c>
      <c r="S651" s="11"/>
      <c r="T651" s="6"/>
      <c r="U651" s="24" t="str">
        <f>HYPERLINK("https://media.infra-m.ru/2148/2148498/cover/2148498.jpg", "Обложка")</f>
        <v>Обложка</v>
      </c>
      <c r="V651" s="24" t="str">
        <f>HYPERLINK("https://znanium.ru/catalog/product/1842564", "Ознакомиться")</f>
        <v>Ознакомиться</v>
      </c>
      <c r="W651" s="8" t="s">
        <v>167</v>
      </c>
      <c r="X651" s="6"/>
      <c r="Y651" s="6"/>
      <c r="Z651" s="6"/>
      <c r="AA651" s="6" t="s">
        <v>3108</v>
      </c>
      <c r="AB651" s="8"/>
    </row>
    <row r="652" spans="1:28" s="4" customFormat="1" ht="42" customHeight="1">
      <c r="A652" s="5">
        <v>0</v>
      </c>
      <c r="B652" s="6" t="s">
        <v>4025</v>
      </c>
      <c r="C652" s="7">
        <v>1384.8</v>
      </c>
      <c r="D652" s="8" t="s">
        <v>4026</v>
      </c>
      <c r="E652" s="8" t="s">
        <v>4027</v>
      </c>
      <c r="F652" s="8" t="s">
        <v>1631</v>
      </c>
      <c r="G652" s="6" t="s">
        <v>38</v>
      </c>
      <c r="H652" s="6" t="s">
        <v>39</v>
      </c>
      <c r="I652" s="8" t="s">
        <v>40</v>
      </c>
      <c r="J652" s="9">
        <v>1</v>
      </c>
      <c r="K652" s="9">
        <v>221</v>
      </c>
      <c r="L652" s="9">
        <v>2025</v>
      </c>
      <c r="M652" s="8" t="s">
        <v>4028</v>
      </c>
      <c r="N652" s="8" t="s">
        <v>42</v>
      </c>
      <c r="O652" s="8" t="s">
        <v>189</v>
      </c>
      <c r="P652" s="6" t="s">
        <v>44</v>
      </c>
      <c r="Q652" s="8" t="s">
        <v>45</v>
      </c>
      <c r="R652" s="10" t="s">
        <v>4029</v>
      </c>
      <c r="S652" s="11"/>
      <c r="T652" s="6"/>
      <c r="U652" s="24" t="str">
        <f>HYPERLINK("https://media.infra-m.ru/2197/2197817/cover/2197817.jpg", "Обложка")</f>
        <v>Обложка</v>
      </c>
      <c r="V652" s="24" t="str">
        <f>HYPERLINK("https://znanium.ru/catalog/product/1989308", "Ознакомиться")</f>
        <v>Ознакомиться</v>
      </c>
      <c r="W652" s="8" t="s">
        <v>1633</v>
      </c>
      <c r="X652" s="6"/>
      <c r="Y652" s="6"/>
      <c r="Z652" s="6"/>
      <c r="AA652" s="6" t="s">
        <v>111</v>
      </c>
      <c r="AB652" s="8"/>
    </row>
    <row r="653" spans="1:28" s="4" customFormat="1" ht="51.95" customHeight="1">
      <c r="A653" s="5">
        <v>0</v>
      </c>
      <c r="B653" s="6" t="s">
        <v>4030</v>
      </c>
      <c r="C653" s="7">
        <v>1080</v>
      </c>
      <c r="D653" s="8" t="s">
        <v>4031</v>
      </c>
      <c r="E653" s="8" t="s">
        <v>4032</v>
      </c>
      <c r="F653" s="8" t="s">
        <v>1631</v>
      </c>
      <c r="G653" s="6" t="s">
        <v>38</v>
      </c>
      <c r="H653" s="6" t="s">
        <v>39</v>
      </c>
      <c r="I653" s="8" t="s">
        <v>40</v>
      </c>
      <c r="J653" s="9">
        <v>1</v>
      </c>
      <c r="K653" s="9">
        <v>219</v>
      </c>
      <c r="L653" s="9">
        <v>2022</v>
      </c>
      <c r="M653" s="8" t="s">
        <v>4033</v>
      </c>
      <c r="N653" s="8" t="s">
        <v>42</v>
      </c>
      <c r="O653" s="8" t="s">
        <v>189</v>
      </c>
      <c r="P653" s="6" t="s">
        <v>44</v>
      </c>
      <c r="Q653" s="8" t="s">
        <v>45</v>
      </c>
      <c r="R653" s="10" t="s">
        <v>4034</v>
      </c>
      <c r="S653" s="11"/>
      <c r="T653" s="6"/>
      <c r="U653" s="24" t="str">
        <f>HYPERLINK("https://media.infra-m.ru/1811/1811252/cover/1811252.jpg", "Обложка")</f>
        <v>Обложка</v>
      </c>
      <c r="V653" s="24" t="str">
        <f>HYPERLINK("https://znanium.ru/catalog/product/1811252", "Ознакомиться")</f>
        <v>Ознакомиться</v>
      </c>
      <c r="W653" s="8" t="s">
        <v>1633</v>
      </c>
      <c r="X653" s="6"/>
      <c r="Y653" s="6"/>
      <c r="Z653" s="6"/>
      <c r="AA653" s="6" t="s">
        <v>199</v>
      </c>
      <c r="AB653" s="8"/>
    </row>
    <row r="654" spans="1:28" s="4" customFormat="1" ht="42" customHeight="1">
      <c r="A654" s="5">
        <v>0</v>
      </c>
      <c r="B654" s="6" t="s">
        <v>4035</v>
      </c>
      <c r="C654" s="7">
        <v>1392</v>
      </c>
      <c r="D654" s="8" t="s">
        <v>4036</v>
      </c>
      <c r="E654" s="8" t="s">
        <v>4037</v>
      </c>
      <c r="F654" s="8" t="s">
        <v>1631</v>
      </c>
      <c r="G654" s="6" t="s">
        <v>81</v>
      </c>
      <c r="H654" s="6" t="s">
        <v>39</v>
      </c>
      <c r="I654" s="8" t="s">
        <v>40</v>
      </c>
      <c r="J654" s="9">
        <v>1</v>
      </c>
      <c r="K654" s="9">
        <v>218</v>
      </c>
      <c r="L654" s="9">
        <v>2025</v>
      </c>
      <c r="M654" s="8" t="s">
        <v>4038</v>
      </c>
      <c r="N654" s="8" t="s">
        <v>54</v>
      </c>
      <c r="O654" s="8" t="s">
        <v>2811</v>
      </c>
      <c r="P654" s="6" t="s">
        <v>44</v>
      </c>
      <c r="Q654" s="8" t="s">
        <v>45</v>
      </c>
      <c r="R654" s="10" t="s">
        <v>4039</v>
      </c>
      <c r="S654" s="11"/>
      <c r="T654" s="6"/>
      <c r="U654" s="24" t="str">
        <f>HYPERLINK("https://media.infra-m.ru/2210/2210891/cover/2210891.jpg", "Обложка")</f>
        <v>Обложка</v>
      </c>
      <c r="V654" s="24" t="str">
        <f>HYPERLINK("https://znanium.ru/catalog/product/2210891", "Ознакомиться")</f>
        <v>Ознакомиться</v>
      </c>
      <c r="W654" s="8" t="s">
        <v>1633</v>
      </c>
      <c r="X654" s="6"/>
      <c r="Y654" s="6"/>
      <c r="Z654" s="6"/>
      <c r="AA654" s="6" t="s">
        <v>119</v>
      </c>
      <c r="AB654" s="8"/>
    </row>
    <row r="655" spans="1:28" s="4" customFormat="1" ht="51.95" customHeight="1">
      <c r="A655" s="5">
        <v>0</v>
      </c>
      <c r="B655" s="6" t="s">
        <v>4040</v>
      </c>
      <c r="C655" s="13">
        <v>828</v>
      </c>
      <c r="D655" s="8" t="s">
        <v>4041</v>
      </c>
      <c r="E655" s="8" t="s">
        <v>4042</v>
      </c>
      <c r="F655" s="8" t="s">
        <v>4043</v>
      </c>
      <c r="G655" s="6" t="s">
        <v>38</v>
      </c>
      <c r="H655" s="6" t="s">
        <v>39</v>
      </c>
      <c r="I655" s="8"/>
      <c r="J655" s="9">
        <v>1</v>
      </c>
      <c r="K655" s="9">
        <v>110</v>
      </c>
      <c r="L655" s="9">
        <v>2025</v>
      </c>
      <c r="M655" s="8" t="s">
        <v>4044</v>
      </c>
      <c r="N655" s="8" t="s">
        <v>42</v>
      </c>
      <c r="O655" s="8" t="s">
        <v>65</v>
      </c>
      <c r="P655" s="6" t="s">
        <v>44</v>
      </c>
      <c r="Q655" s="8" t="s">
        <v>45</v>
      </c>
      <c r="R655" s="10" t="s">
        <v>4045</v>
      </c>
      <c r="S655" s="11"/>
      <c r="T655" s="6"/>
      <c r="U655" s="24" t="str">
        <f>HYPERLINK("https://media.infra-m.ru/2209/2209155/cover/2209155.jpg", "Обложка")</f>
        <v>Обложка</v>
      </c>
      <c r="V655" s="24" t="str">
        <f>HYPERLINK("https://znanium.ru/catalog/product/2209155", "Ознакомиться")</f>
        <v>Ознакомиться</v>
      </c>
      <c r="W655" s="8" t="s">
        <v>214</v>
      </c>
      <c r="X655" s="6"/>
      <c r="Y655" s="6"/>
      <c r="Z655" s="6"/>
      <c r="AA655" s="6" t="s">
        <v>1494</v>
      </c>
      <c r="AB655" s="8"/>
    </row>
    <row r="656" spans="1:28" s="4" customFormat="1" ht="51.95" customHeight="1">
      <c r="A656" s="5">
        <v>0</v>
      </c>
      <c r="B656" s="6" t="s">
        <v>4046</v>
      </c>
      <c r="C656" s="7">
        <v>2380.8000000000002</v>
      </c>
      <c r="D656" s="8" t="s">
        <v>4047</v>
      </c>
      <c r="E656" s="8" t="s">
        <v>4048</v>
      </c>
      <c r="F656" s="8" t="s">
        <v>413</v>
      </c>
      <c r="G656" s="6" t="s">
        <v>132</v>
      </c>
      <c r="H656" s="6" t="s">
        <v>99</v>
      </c>
      <c r="I656" s="8"/>
      <c r="J656" s="9">
        <v>1</v>
      </c>
      <c r="K656" s="9">
        <v>376</v>
      </c>
      <c r="L656" s="9">
        <v>2026</v>
      </c>
      <c r="M656" s="8" t="s">
        <v>4049</v>
      </c>
      <c r="N656" s="8" t="s">
        <v>42</v>
      </c>
      <c r="O656" s="8" t="s">
        <v>101</v>
      </c>
      <c r="P656" s="6" t="s">
        <v>44</v>
      </c>
      <c r="Q656" s="8" t="s">
        <v>45</v>
      </c>
      <c r="R656" s="10" t="s">
        <v>4050</v>
      </c>
      <c r="S656" s="11"/>
      <c r="T656" s="6"/>
      <c r="U656" s="24" t="str">
        <f>HYPERLINK("https://media.infra-m.ru/2219/2219398/cover/2219398.jpg", "Обложка")</f>
        <v>Обложка</v>
      </c>
      <c r="V656" s="24" t="str">
        <f>HYPERLINK("https://znanium.ru/catalog/product/1983246", "Ознакомиться")</f>
        <v>Ознакомиться</v>
      </c>
      <c r="W656" s="8" t="s">
        <v>418</v>
      </c>
      <c r="X656" s="6"/>
      <c r="Y656" s="6"/>
      <c r="Z656" s="6"/>
      <c r="AA656" s="6" t="s">
        <v>119</v>
      </c>
      <c r="AB656" s="8"/>
    </row>
    <row r="657" spans="1:28" s="4" customFormat="1" ht="51.95" customHeight="1">
      <c r="A657" s="5">
        <v>0</v>
      </c>
      <c r="B657" s="6" t="s">
        <v>4051</v>
      </c>
      <c r="C657" s="7">
        <v>1620</v>
      </c>
      <c r="D657" s="8" t="s">
        <v>4052</v>
      </c>
      <c r="E657" s="8" t="s">
        <v>4053</v>
      </c>
      <c r="F657" s="8" t="s">
        <v>630</v>
      </c>
      <c r="G657" s="6" t="s">
        <v>81</v>
      </c>
      <c r="H657" s="6" t="s">
        <v>39</v>
      </c>
      <c r="I657" s="8" t="s">
        <v>40</v>
      </c>
      <c r="J657" s="9">
        <v>1</v>
      </c>
      <c r="K657" s="9">
        <v>280</v>
      </c>
      <c r="L657" s="9">
        <v>2024</v>
      </c>
      <c r="M657" s="8" t="s">
        <v>4054</v>
      </c>
      <c r="N657" s="8" t="s">
        <v>42</v>
      </c>
      <c r="O657" s="8" t="s">
        <v>101</v>
      </c>
      <c r="P657" s="6" t="s">
        <v>44</v>
      </c>
      <c r="Q657" s="8" t="s">
        <v>45</v>
      </c>
      <c r="R657" s="10" t="s">
        <v>4055</v>
      </c>
      <c r="S657" s="11"/>
      <c r="T657" s="6"/>
      <c r="U657" s="24" t="str">
        <f>HYPERLINK("https://media.infra-m.ru/2132/2132157/cover/2132157.jpg", "Обложка")</f>
        <v>Обложка</v>
      </c>
      <c r="V657" s="24" t="str">
        <f>HYPERLINK("https://znanium.ru/catalog/product/2132157", "Ознакомиться")</f>
        <v>Ознакомиться</v>
      </c>
      <c r="W657" s="8" t="s">
        <v>633</v>
      </c>
      <c r="X657" s="6"/>
      <c r="Y657" s="6"/>
      <c r="Z657" s="6"/>
      <c r="AA657" s="6" t="s">
        <v>119</v>
      </c>
      <c r="AB657" s="8"/>
    </row>
    <row r="658" spans="1:28" s="4" customFormat="1" ht="51.95" customHeight="1">
      <c r="A658" s="5">
        <v>0</v>
      </c>
      <c r="B658" s="6" t="s">
        <v>4056</v>
      </c>
      <c r="C658" s="7">
        <v>1408.8</v>
      </c>
      <c r="D658" s="8" t="s">
        <v>4057</v>
      </c>
      <c r="E658" s="8" t="s">
        <v>4058</v>
      </c>
      <c r="F658" s="8" t="s">
        <v>4059</v>
      </c>
      <c r="G658" s="6" t="s">
        <v>38</v>
      </c>
      <c r="H658" s="6" t="s">
        <v>39</v>
      </c>
      <c r="I658" s="8" t="s">
        <v>40</v>
      </c>
      <c r="J658" s="9">
        <v>1</v>
      </c>
      <c r="K658" s="9">
        <v>256</v>
      </c>
      <c r="L658" s="9">
        <v>2024</v>
      </c>
      <c r="M658" s="8" t="s">
        <v>4060</v>
      </c>
      <c r="N658" s="8" t="s">
        <v>284</v>
      </c>
      <c r="O658" s="8" t="s">
        <v>328</v>
      </c>
      <c r="P658" s="6" t="s">
        <v>44</v>
      </c>
      <c r="Q658" s="8" t="s">
        <v>45</v>
      </c>
      <c r="R658" s="10" t="s">
        <v>4061</v>
      </c>
      <c r="S658" s="11"/>
      <c r="T658" s="6"/>
      <c r="U658" s="24" t="str">
        <f>HYPERLINK("https://media.infra-m.ru/2120/2120778/cover/2120778.jpg", "Обложка")</f>
        <v>Обложка</v>
      </c>
      <c r="V658" s="24" t="str">
        <f>HYPERLINK("https://znanium.ru/catalog/product/2231761", "Ознакомиться")</f>
        <v>Ознакомиться</v>
      </c>
      <c r="W658" s="8" t="s">
        <v>3955</v>
      </c>
      <c r="X658" s="6"/>
      <c r="Y658" s="6"/>
      <c r="Z658" s="6"/>
      <c r="AA658" s="6" t="s">
        <v>377</v>
      </c>
      <c r="AB658" s="8"/>
    </row>
    <row r="659" spans="1:28" s="4" customFormat="1" ht="44.1" customHeight="1">
      <c r="A659" s="5">
        <v>0</v>
      </c>
      <c r="B659" s="6" t="s">
        <v>4062</v>
      </c>
      <c r="C659" s="13">
        <v>912</v>
      </c>
      <c r="D659" s="8" t="s">
        <v>4063</v>
      </c>
      <c r="E659" s="8" t="s">
        <v>4064</v>
      </c>
      <c r="F659" s="8" t="s">
        <v>4065</v>
      </c>
      <c r="G659" s="6" t="s">
        <v>38</v>
      </c>
      <c r="H659" s="6" t="s">
        <v>39</v>
      </c>
      <c r="I659" s="8" t="s">
        <v>40</v>
      </c>
      <c r="J659" s="9">
        <v>1</v>
      </c>
      <c r="K659" s="9">
        <v>200</v>
      </c>
      <c r="L659" s="9">
        <v>2022</v>
      </c>
      <c r="M659" s="8" t="s">
        <v>4066</v>
      </c>
      <c r="N659" s="8" t="s">
        <v>42</v>
      </c>
      <c r="O659" s="8" t="s">
        <v>246</v>
      </c>
      <c r="P659" s="6" t="s">
        <v>44</v>
      </c>
      <c r="Q659" s="8" t="s">
        <v>45</v>
      </c>
      <c r="R659" s="10" t="s">
        <v>1036</v>
      </c>
      <c r="S659" s="11"/>
      <c r="T659" s="6"/>
      <c r="U659" s="24" t="str">
        <f>HYPERLINK("https://media.infra-m.ru/1735/1735164/cover/1735164.jpg", "Обложка")</f>
        <v>Обложка</v>
      </c>
      <c r="V659" s="24" t="str">
        <f>HYPERLINK("https://znanium.ru/catalog/product/1735164", "Ознакомиться")</f>
        <v>Ознакомиться</v>
      </c>
      <c r="W659" s="8" t="s">
        <v>516</v>
      </c>
      <c r="X659" s="6"/>
      <c r="Y659" s="6"/>
      <c r="Z659" s="6"/>
      <c r="AA659" s="6" t="s">
        <v>1154</v>
      </c>
      <c r="AB659" s="8"/>
    </row>
    <row r="660" spans="1:28" s="4" customFormat="1" ht="51.95" customHeight="1">
      <c r="A660" s="5">
        <v>0</v>
      </c>
      <c r="B660" s="6" t="s">
        <v>4067</v>
      </c>
      <c r="C660" s="7">
        <v>1944</v>
      </c>
      <c r="D660" s="8" t="s">
        <v>4068</v>
      </c>
      <c r="E660" s="8" t="s">
        <v>4069</v>
      </c>
      <c r="F660" s="8" t="s">
        <v>4070</v>
      </c>
      <c r="G660" s="6" t="s">
        <v>132</v>
      </c>
      <c r="H660" s="6" t="s">
        <v>39</v>
      </c>
      <c r="I660" s="8" t="s">
        <v>40</v>
      </c>
      <c r="J660" s="9">
        <v>1</v>
      </c>
      <c r="K660" s="9">
        <v>297</v>
      </c>
      <c r="L660" s="9">
        <v>2026</v>
      </c>
      <c r="M660" s="8" t="s">
        <v>4071</v>
      </c>
      <c r="N660" s="8" t="s">
        <v>220</v>
      </c>
      <c r="O660" s="8" t="s">
        <v>252</v>
      </c>
      <c r="P660" s="6" t="s">
        <v>44</v>
      </c>
      <c r="Q660" s="8" t="s">
        <v>45</v>
      </c>
      <c r="R660" s="10" t="s">
        <v>4072</v>
      </c>
      <c r="S660" s="11"/>
      <c r="T660" s="6"/>
      <c r="U660" s="24" t="str">
        <f>HYPERLINK("https://media.infra-m.ru/2216/2216485/cover/2216485.jpg", "Обложка")</f>
        <v>Обложка</v>
      </c>
      <c r="V660" s="24" t="str">
        <f>HYPERLINK("https://znanium.ru/catalog/product/2216485", "Ознакомиться")</f>
        <v>Ознакомиться</v>
      </c>
      <c r="W660" s="8" t="s">
        <v>289</v>
      </c>
      <c r="X660" s="6" t="s">
        <v>158</v>
      </c>
      <c r="Y660" s="6"/>
      <c r="Z660" s="6"/>
      <c r="AA660" s="6" t="s">
        <v>833</v>
      </c>
      <c r="AB660" s="8"/>
    </row>
    <row r="661" spans="1:28" s="4" customFormat="1" ht="42" customHeight="1">
      <c r="A661" s="5">
        <v>0</v>
      </c>
      <c r="B661" s="6" t="s">
        <v>4073</v>
      </c>
      <c r="C661" s="13">
        <v>876</v>
      </c>
      <c r="D661" s="8" t="s">
        <v>4074</v>
      </c>
      <c r="E661" s="8" t="s">
        <v>4075</v>
      </c>
      <c r="F661" s="8" t="s">
        <v>4076</v>
      </c>
      <c r="G661" s="6" t="s">
        <v>38</v>
      </c>
      <c r="H661" s="6" t="s">
        <v>39</v>
      </c>
      <c r="I661" s="8" t="s">
        <v>40</v>
      </c>
      <c r="J661" s="9">
        <v>1</v>
      </c>
      <c r="K661" s="9">
        <v>195</v>
      </c>
      <c r="L661" s="9">
        <v>2021</v>
      </c>
      <c r="M661" s="8" t="s">
        <v>4077</v>
      </c>
      <c r="N661" s="8" t="s">
        <v>284</v>
      </c>
      <c r="O661" s="8" t="s">
        <v>2265</v>
      </c>
      <c r="P661" s="6" t="s">
        <v>44</v>
      </c>
      <c r="Q661" s="8" t="s">
        <v>45</v>
      </c>
      <c r="R661" s="10" t="s">
        <v>4078</v>
      </c>
      <c r="S661" s="11"/>
      <c r="T661" s="6"/>
      <c r="U661" s="24" t="str">
        <f>HYPERLINK("https://media.infra-m.ru/1074/1074097/cover/1074097.jpg", "Обложка")</f>
        <v>Обложка</v>
      </c>
      <c r="V661" s="24" t="str">
        <f>HYPERLINK("https://znanium.ru/catalog/product/1074097", "Ознакомиться")</f>
        <v>Ознакомиться</v>
      </c>
      <c r="W661" s="8" t="s">
        <v>4079</v>
      </c>
      <c r="X661" s="6"/>
      <c r="Y661" s="6"/>
      <c r="Z661" s="6"/>
      <c r="AA661" s="6" t="s">
        <v>1363</v>
      </c>
      <c r="AB661" s="8"/>
    </row>
    <row r="662" spans="1:28" s="4" customFormat="1" ht="44.1" customHeight="1">
      <c r="A662" s="5">
        <v>0</v>
      </c>
      <c r="B662" s="6" t="s">
        <v>4080</v>
      </c>
      <c r="C662" s="7">
        <v>1480.8</v>
      </c>
      <c r="D662" s="8" t="s">
        <v>4081</v>
      </c>
      <c r="E662" s="8" t="s">
        <v>4082</v>
      </c>
      <c r="F662" s="8" t="s">
        <v>4083</v>
      </c>
      <c r="G662" s="6" t="s">
        <v>38</v>
      </c>
      <c r="H662" s="6" t="s">
        <v>39</v>
      </c>
      <c r="I662" s="8" t="s">
        <v>40</v>
      </c>
      <c r="J662" s="9">
        <v>1</v>
      </c>
      <c r="K662" s="9">
        <v>247</v>
      </c>
      <c r="L662" s="9">
        <v>2025</v>
      </c>
      <c r="M662" s="8" t="s">
        <v>4084</v>
      </c>
      <c r="N662" s="8" t="s">
        <v>284</v>
      </c>
      <c r="O662" s="8" t="s">
        <v>1549</v>
      </c>
      <c r="P662" s="6" t="s">
        <v>44</v>
      </c>
      <c r="Q662" s="8" t="s">
        <v>45</v>
      </c>
      <c r="R662" s="10" t="s">
        <v>4085</v>
      </c>
      <c r="S662" s="11"/>
      <c r="T662" s="6"/>
      <c r="U662" s="24" t="str">
        <f>HYPERLINK("https://media.infra-m.ru/2179/2179730/cover/2179730.jpg", "Обложка")</f>
        <v>Обложка</v>
      </c>
      <c r="V662" s="24" t="str">
        <f>HYPERLINK("https://znanium.ru/catalog/product/1816645", "Ознакомиться")</f>
        <v>Ознакомиться</v>
      </c>
      <c r="W662" s="8" t="s">
        <v>176</v>
      </c>
      <c r="X662" s="6"/>
      <c r="Y662" s="6"/>
      <c r="Z662" s="6"/>
      <c r="AA662" s="6" t="s">
        <v>168</v>
      </c>
      <c r="AB662" s="8"/>
    </row>
    <row r="663" spans="1:28" s="4" customFormat="1" ht="51.95" customHeight="1">
      <c r="A663" s="5">
        <v>0</v>
      </c>
      <c r="B663" s="6" t="s">
        <v>4086</v>
      </c>
      <c r="C663" s="7">
        <v>2153.9</v>
      </c>
      <c r="D663" s="8" t="s">
        <v>4087</v>
      </c>
      <c r="E663" s="8" t="s">
        <v>4088</v>
      </c>
      <c r="F663" s="8" t="s">
        <v>4089</v>
      </c>
      <c r="G663" s="6" t="s">
        <v>132</v>
      </c>
      <c r="H663" s="6" t="s">
        <v>571</v>
      </c>
      <c r="I663" s="8"/>
      <c r="J663" s="9">
        <v>1</v>
      </c>
      <c r="K663" s="9">
        <v>399</v>
      </c>
      <c r="L663" s="9">
        <v>2023</v>
      </c>
      <c r="M663" s="8" t="s">
        <v>4090</v>
      </c>
      <c r="N663" s="8" t="s">
        <v>229</v>
      </c>
      <c r="O663" s="8" t="s">
        <v>230</v>
      </c>
      <c r="P663" s="6" t="s">
        <v>44</v>
      </c>
      <c r="Q663" s="8" t="s">
        <v>45</v>
      </c>
      <c r="R663" s="10" t="s">
        <v>4091</v>
      </c>
      <c r="S663" s="11"/>
      <c r="T663" s="6"/>
      <c r="U663" s="24" t="str">
        <f>HYPERLINK("https://media.infra-m.ru/1895/1895704/cover/1895704.jpg", "Обложка")</f>
        <v>Обложка</v>
      </c>
      <c r="V663" s="24" t="str">
        <f>HYPERLINK("https://znanium.ru/catalog/product/1048491", "Ознакомиться")</f>
        <v>Ознакомиться</v>
      </c>
      <c r="W663" s="8" t="s">
        <v>4092</v>
      </c>
      <c r="X663" s="6"/>
      <c r="Y663" s="6"/>
      <c r="Z663" s="6"/>
      <c r="AA663" s="6" t="s">
        <v>241</v>
      </c>
      <c r="AB663" s="8"/>
    </row>
    <row r="664" spans="1:28" s="4" customFormat="1" ht="51.95" customHeight="1">
      <c r="A664" s="5">
        <v>0</v>
      </c>
      <c r="B664" s="6" t="s">
        <v>4093</v>
      </c>
      <c r="C664" s="7">
        <v>1096.8</v>
      </c>
      <c r="D664" s="8" t="s">
        <v>4094</v>
      </c>
      <c r="E664" s="8" t="s">
        <v>4095</v>
      </c>
      <c r="F664" s="8" t="s">
        <v>4096</v>
      </c>
      <c r="G664" s="6" t="s">
        <v>38</v>
      </c>
      <c r="H664" s="6" t="s">
        <v>39</v>
      </c>
      <c r="I664" s="8" t="s">
        <v>40</v>
      </c>
      <c r="J664" s="9">
        <v>1</v>
      </c>
      <c r="K664" s="9">
        <v>193</v>
      </c>
      <c r="L664" s="9">
        <v>2024</v>
      </c>
      <c r="M664" s="8" t="s">
        <v>4097</v>
      </c>
      <c r="N664" s="8" t="s">
        <v>229</v>
      </c>
      <c r="O664" s="8" t="s">
        <v>230</v>
      </c>
      <c r="P664" s="6" t="s">
        <v>44</v>
      </c>
      <c r="Q664" s="8" t="s">
        <v>45</v>
      </c>
      <c r="R664" s="10" t="s">
        <v>1973</v>
      </c>
      <c r="S664" s="11"/>
      <c r="T664" s="6"/>
      <c r="U664" s="24" t="str">
        <f>HYPERLINK("https://media.infra-m.ru/2136/2136041/cover/2136041.jpg", "Обложка")</f>
        <v>Обложка</v>
      </c>
      <c r="V664" s="24" t="str">
        <f>HYPERLINK("https://znanium.ru/catalog/product/1938025", "Ознакомиться")</f>
        <v>Ознакомиться</v>
      </c>
      <c r="W664" s="8" t="s">
        <v>3530</v>
      </c>
      <c r="X664" s="6"/>
      <c r="Y664" s="6"/>
      <c r="Z664" s="6"/>
      <c r="AA664" s="6" t="s">
        <v>168</v>
      </c>
      <c r="AB664" s="8"/>
    </row>
    <row r="665" spans="1:28" s="4" customFormat="1" ht="42" customHeight="1">
      <c r="A665" s="5">
        <v>0</v>
      </c>
      <c r="B665" s="6" t="s">
        <v>4098</v>
      </c>
      <c r="C665" s="13">
        <v>864</v>
      </c>
      <c r="D665" s="8" t="s">
        <v>4099</v>
      </c>
      <c r="E665" s="8" t="s">
        <v>4100</v>
      </c>
      <c r="F665" s="8" t="s">
        <v>4101</v>
      </c>
      <c r="G665" s="6" t="s">
        <v>38</v>
      </c>
      <c r="H665" s="6" t="s">
        <v>39</v>
      </c>
      <c r="I665" s="8" t="s">
        <v>4102</v>
      </c>
      <c r="J665" s="9">
        <v>1</v>
      </c>
      <c r="K665" s="9">
        <v>144</v>
      </c>
      <c r="L665" s="9">
        <v>2025</v>
      </c>
      <c r="M665" s="8" t="s">
        <v>4103</v>
      </c>
      <c r="N665" s="8" t="s">
        <v>54</v>
      </c>
      <c r="O665" s="8" t="s">
        <v>91</v>
      </c>
      <c r="P665" s="6" t="s">
        <v>415</v>
      </c>
      <c r="Q665" s="8" t="s">
        <v>416</v>
      </c>
      <c r="R665" s="10" t="s">
        <v>4104</v>
      </c>
      <c r="S665" s="11"/>
      <c r="T665" s="6"/>
      <c r="U665" s="24" t="str">
        <f>HYPERLINK("https://media.infra-m.ru/2168/2168380/cover/2168380.jpg", "Обложка")</f>
        <v>Обложка</v>
      </c>
      <c r="V665" s="24" t="str">
        <f>HYPERLINK("https://znanium.ru/catalog/product/2168380", "Ознакомиться")</f>
        <v>Ознакомиться</v>
      </c>
      <c r="W665" s="8" t="s">
        <v>1362</v>
      </c>
      <c r="X665" s="6"/>
      <c r="Y665" s="6"/>
      <c r="Z665" s="6"/>
      <c r="AA665" s="6" t="s">
        <v>111</v>
      </c>
      <c r="AB665" s="8"/>
    </row>
    <row r="666" spans="1:28" s="4" customFormat="1" ht="51.95" customHeight="1">
      <c r="A666" s="5">
        <v>0</v>
      </c>
      <c r="B666" s="6" t="s">
        <v>4105</v>
      </c>
      <c r="C666" s="7">
        <v>1080</v>
      </c>
      <c r="D666" s="8" t="s">
        <v>4106</v>
      </c>
      <c r="E666" s="8" t="s">
        <v>4107</v>
      </c>
      <c r="F666" s="8" t="s">
        <v>4108</v>
      </c>
      <c r="G666" s="6" t="s">
        <v>38</v>
      </c>
      <c r="H666" s="6" t="s">
        <v>39</v>
      </c>
      <c r="I666" s="8" t="s">
        <v>40</v>
      </c>
      <c r="J666" s="9">
        <v>1</v>
      </c>
      <c r="K666" s="9">
        <v>194</v>
      </c>
      <c r="L666" s="9">
        <v>2024</v>
      </c>
      <c r="M666" s="8" t="s">
        <v>4109</v>
      </c>
      <c r="N666" s="8" t="s">
        <v>42</v>
      </c>
      <c r="O666" s="8" t="s">
        <v>43</v>
      </c>
      <c r="P666" s="6" t="s">
        <v>44</v>
      </c>
      <c r="Q666" s="8" t="s">
        <v>45</v>
      </c>
      <c r="R666" s="10" t="s">
        <v>4110</v>
      </c>
      <c r="S666" s="11"/>
      <c r="T666" s="6" t="s">
        <v>1080</v>
      </c>
      <c r="U666" s="24" t="str">
        <f>HYPERLINK("https://media.infra-m.ru/2086/2086809/cover/2086809.jpg", "Обложка")</f>
        <v>Обложка</v>
      </c>
      <c r="V666" s="24" t="str">
        <f>HYPERLINK("https://znanium.ru/catalog/product/2086809", "Ознакомиться")</f>
        <v>Ознакомиться</v>
      </c>
      <c r="W666" s="8" t="s">
        <v>4111</v>
      </c>
      <c r="X666" s="6"/>
      <c r="Y666" s="6"/>
      <c r="Z666" s="6"/>
      <c r="AA666" s="6" t="s">
        <v>168</v>
      </c>
      <c r="AB666" s="8"/>
    </row>
    <row r="667" spans="1:28" s="4" customFormat="1" ht="42" customHeight="1">
      <c r="A667" s="5">
        <v>0</v>
      </c>
      <c r="B667" s="6" t="s">
        <v>4112</v>
      </c>
      <c r="C667" s="13">
        <v>936</v>
      </c>
      <c r="D667" s="8" t="s">
        <v>4113</v>
      </c>
      <c r="E667" s="8" t="s">
        <v>4114</v>
      </c>
      <c r="F667" s="8" t="s">
        <v>4115</v>
      </c>
      <c r="G667" s="6" t="s">
        <v>38</v>
      </c>
      <c r="H667" s="6" t="s">
        <v>39</v>
      </c>
      <c r="I667" s="8" t="s">
        <v>40</v>
      </c>
      <c r="J667" s="9">
        <v>1</v>
      </c>
      <c r="K667" s="9">
        <v>156</v>
      </c>
      <c r="L667" s="9">
        <v>2025</v>
      </c>
      <c r="M667" s="8" t="s">
        <v>4116</v>
      </c>
      <c r="N667" s="8" t="s">
        <v>42</v>
      </c>
      <c r="O667" s="8" t="s">
        <v>43</v>
      </c>
      <c r="P667" s="6" t="s">
        <v>44</v>
      </c>
      <c r="Q667" s="8" t="s">
        <v>45</v>
      </c>
      <c r="R667" s="10" t="s">
        <v>4117</v>
      </c>
      <c r="S667" s="11"/>
      <c r="T667" s="6"/>
      <c r="U667" s="24" t="str">
        <f>HYPERLINK("https://media.infra-m.ru/2163/2163908/cover/2163908.jpg", "Обложка")</f>
        <v>Обложка</v>
      </c>
      <c r="V667" s="24" t="str">
        <f>HYPERLINK("https://znanium.ru/catalog/product/2163908", "Ознакомиться")</f>
        <v>Ознакомиться</v>
      </c>
      <c r="W667" s="8" t="s">
        <v>2157</v>
      </c>
      <c r="X667" s="6"/>
      <c r="Y667" s="6"/>
      <c r="Z667" s="6"/>
      <c r="AA667" s="6" t="s">
        <v>68</v>
      </c>
      <c r="AB667" s="8"/>
    </row>
    <row r="668" spans="1:28" s="4" customFormat="1" ht="42" customHeight="1">
      <c r="A668" s="5">
        <v>0</v>
      </c>
      <c r="B668" s="6" t="s">
        <v>4118</v>
      </c>
      <c r="C668" s="7">
        <v>1536</v>
      </c>
      <c r="D668" s="8" t="s">
        <v>4119</v>
      </c>
      <c r="E668" s="8" t="s">
        <v>4120</v>
      </c>
      <c r="F668" s="8" t="s">
        <v>4121</v>
      </c>
      <c r="G668" s="6" t="s">
        <v>81</v>
      </c>
      <c r="H668" s="6" t="s">
        <v>39</v>
      </c>
      <c r="I668" s="8" t="s">
        <v>40</v>
      </c>
      <c r="J668" s="9">
        <v>1</v>
      </c>
      <c r="K668" s="9">
        <v>376</v>
      </c>
      <c r="L668" s="9">
        <v>2020</v>
      </c>
      <c r="M668" s="8" t="s">
        <v>4122</v>
      </c>
      <c r="N668" s="8" t="s">
        <v>42</v>
      </c>
      <c r="O668" s="8" t="s">
        <v>65</v>
      </c>
      <c r="P668" s="6" t="s">
        <v>44</v>
      </c>
      <c r="Q668" s="8" t="s">
        <v>45</v>
      </c>
      <c r="R668" s="10" t="s">
        <v>4123</v>
      </c>
      <c r="S668" s="11"/>
      <c r="T668" s="6"/>
      <c r="U668" s="24" t="str">
        <f>HYPERLINK("https://media.infra-m.ru/1039/1039934/cover/1039934.jpg", "Обложка")</f>
        <v>Обложка</v>
      </c>
      <c r="V668" s="24" t="str">
        <f>HYPERLINK("https://znanium.ru/catalog/product/1039934", "Ознакомиться")</f>
        <v>Ознакомиться</v>
      </c>
      <c r="W668" s="8" t="s">
        <v>846</v>
      </c>
      <c r="X668" s="6"/>
      <c r="Y668" s="6"/>
      <c r="Z668" s="6"/>
      <c r="AA668" s="6" t="s">
        <v>76</v>
      </c>
      <c r="AB668" s="8"/>
    </row>
    <row r="669" spans="1:28" s="4" customFormat="1" ht="42" customHeight="1">
      <c r="A669" s="5">
        <v>0</v>
      </c>
      <c r="B669" s="6" t="s">
        <v>4124</v>
      </c>
      <c r="C669" s="7">
        <v>1240.8</v>
      </c>
      <c r="D669" s="8" t="s">
        <v>4125</v>
      </c>
      <c r="E669" s="8" t="s">
        <v>4126</v>
      </c>
      <c r="F669" s="8" t="s">
        <v>1598</v>
      </c>
      <c r="G669" s="6" t="s">
        <v>81</v>
      </c>
      <c r="H669" s="6" t="s">
        <v>39</v>
      </c>
      <c r="I669" s="8" t="s">
        <v>40</v>
      </c>
      <c r="J669" s="9">
        <v>1</v>
      </c>
      <c r="K669" s="9">
        <v>195</v>
      </c>
      <c r="L669" s="9">
        <v>2026</v>
      </c>
      <c r="M669" s="8" t="s">
        <v>4127</v>
      </c>
      <c r="N669" s="8" t="s">
        <v>42</v>
      </c>
      <c r="O669" s="8" t="s">
        <v>43</v>
      </c>
      <c r="P669" s="6" t="s">
        <v>44</v>
      </c>
      <c r="Q669" s="8" t="s">
        <v>45</v>
      </c>
      <c r="R669" s="10" t="s">
        <v>4128</v>
      </c>
      <c r="S669" s="11"/>
      <c r="T669" s="6"/>
      <c r="U669" s="24" t="str">
        <f>HYPERLINK("https://media.infra-m.ru/2213/2213088/cover/2213088.jpg", "Обложка")</f>
        <v>Обложка</v>
      </c>
      <c r="V669" s="24" t="str">
        <f>HYPERLINK("https://znanium.ru/catalog/product/2111402", "Ознакомиться")</f>
        <v>Ознакомиться</v>
      </c>
      <c r="W669" s="8" t="s">
        <v>1601</v>
      </c>
      <c r="X669" s="6"/>
      <c r="Y669" s="6"/>
      <c r="Z669" s="6"/>
      <c r="AA669" s="6" t="s">
        <v>68</v>
      </c>
      <c r="AB669" s="8"/>
    </row>
    <row r="670" spans="1:28" s="4" customFormat="1" ht="42" customHeight="1">
      <c r="A670" s="5">
        <v>0</v>
      </c>
      <c r="B670" s="6" t="s">
        <v>4129</v>
      </c>
      <c r="C670" s="7">
        <v>1572</v>
      </c>
      <c r="D670" s="8" t="s">
        <v>4130</v>
      </c>
      <c r="E670" s="8" t="s">
        <v>4131</v>
      </c>
      <c r="F670" s="8" t="s">
        <v>4132</v>
      </c>
      <c r="G670" s="6" t="s">
        <v>38</v>
      </c>
      <c r="H670" s="6" t="s">
        <v>39</v>
      </c>
      <c r="I670" s="8" t="s">
        <v>40</v>
      </c>
      <c r="J670" s="9">
        <v>1</v>
      </c>
      <c r="K670" s="9">
        <v>291</v>
      </c>
      <c r="L670" s="9">
        <v>2023</v>
      </c>
      <c r="M670" s="8" t="s">
        <v>4133</v>
      </c>
      <c r="N670" s="8" t="s">
        <v>42</v>
      </c>
      <c r="O670" s="8" t="s">
        <v>43</v>
      </c>
      <c r="P670" s="6" t="s">
        <v>44</v>
      </c>
      <c r="Q670" s="8" t="s">
        <v>45</v>
      </c>
      <c r="R670" s="10" t="s">
        <v>4134</v>
      </c>
      <c r="S670" s="11"/>
      <c r="T670" s="6"/>
      <c r="U670" s="24" t="str">
        <f>HYPERLINK("https://media.infra-m.ru/1867/1867632/cover/1867632.jpg", "Обложка")</f>
        <v>Обложка</v>
      </c>
      <c r="V670" s="24" t="str">
        <f>HYPERLINK("https://znanium.ru/catalog/product/1867632", "Ознакомиться")</f>
        <v>Ознакомиться</v>
      </c>
      <c r="W670" s="8" t="s">
        <v>3378</v>
      </c>
      <c r="X670" s="6"/>
      <c r="Y670" s="6"/>
      <c r="Z670" s="6"/>
      <c r="AA670" s="6" t="s">
        <v>119</v>
      </c>
      <c r="AB670" s="8"/>
    </row>
    <row r="671" spans="1:28" s="4" customFormat="1" ht="51.95" customHeight="1">
      <c r="A671" s="5">
        <v>0</v>
      </c>
      <c r="B671" s="6" t="s">
        <v>4135</v>
      </c>
      <c r="C671" s="13">
        <v>461.9</v>
      </c>
      <c r="D671" s="8" t="s">
        <v>4136</v>
      </c>
      <c r="E671" s="8" t="s">
        <v>4137</v>
      </c>
      <c r="F671" s="8" t="s">
        <v>4138</v>
      </c>
      <c r="G671" s="6" t="s">
        <v>38</v>
      </c>
      <c r="H671" s="6" t="s">
        <v>39</v>
      </c>
      <c r="I671" s="8" t="s">
        <v>40</v>
      </c>
      <c r="J671" s="9">
        <v>1</v>
      </c>
      <c r="K671" s="9">
        <v>110</v>
      </c>
      <c r="L671" s="9">
        <v>2020</v>
      </c>
      <c r="M671" s="8" t="s">
        <v>4139</v>
      </c>
      <c r="N671" s="8" t="s">
        <v>229</v>
      </c>
      <c r="O671" s="8" t="s">
        <v>230</v>
      </c>
      <c r="P671" s="6" t="s">
        <v>44</v>
      </c>
      <c r="Q671" s="8" t="s">
        <v>45</v>
      </c>
      <c r="R671" s="10" t="s">
        <v>4140</v>
      </c>
      <c r="S671" s="11"/>
      <c r="T671" s="6"/>
      <c r="U671" s="24" t="str">
        <f>HYPERLINK("https://media.infra-m.ru/1047/1047112/cover/1047112.jpg", "Обложка")</f>
        <v>Обложка</v>
      </c>
      <c r="V671" s="24" t="str">
        <f>HYPERLINK("https://znanium.ru/catalog/product/950370", "Ознакомиться")</f>
        <v>Ознакомиться</v>
      </c>
      <c r="W671" s="8" t="s">
        <v>2689</v>
      </c>
      <c r="X671" s="6"/>
      <c r="Y671" s="6"/>
      <c r="Z671" s="6"/>
      <c r="AA671" s="6" t="s">
        <v>369</v>
      </c>
      <c r="AB671" s="8"/>
    </row>
    <row r="672" spans="1:28" s="4" customFormat="1" ht="42" customHeight="1">
      <c r="A672" s="5">
        <v>0</v>
      </c>
      <c r="B672" s="6" t="s">
        <v>4141</v>
      </c>
      <c r="C672" s="7">
        <v>2628</v>
      </c>
      <c r="D672" s="8" t="s">
        <v>4142</v>
      </c>
      <c r="E672" s="8" t="s">
        <v>4143</v>
      </c>
      <c r="F672" s="8" t="s">
        <v>4144</v>
      </c>
      <c r="G672" s="6" t="s">
        <v>132</v>
      </c>
      <c r="H672" s="6" t="s">
        <v>39</v>
      </c>
      <c r="I672" s="8" t="s">
        <v>40</v>
      </c>
      <c r="J672" s="9">
        <v>1</v>
      </c>
      <c r="K672" s="9">
        <v>612</v>
      </c>
      <c r="L672" s="9">
        <v>2022</v>
      </c>
      <c r="M672" s="8" t="s">
        <v>4145</v>
      </c>
      <c r="N672" s="8" t="s">
        <v>229</v>
      </c>
      <c r="O672" s="8" t="s">
        <v>230</v>
      </c>
      <c r="P672" s="6" t="s">
        <v>44</v>
      </c>
      <c r="Q672" s="8" t="s">
        <v>45</v>
      </c>
      <c r="R672" s="10" t="s">
        <v>4146</v>
      </c>
      <c r="S672" s="11"/>
      <c r="T672" s="6"/>
      <c r="U672" s="24" t="str">
        <f>HYPERLINK("https://media.infra-m.ru/1859/1859603/cover/1859603.jpg", "Обложка")</f>
        <v>Обложка</v>
      </c>
      <c r="V672" s="24" t="str">
        <f>HYPERLINK("https://znanium.ru/catalog/product/1859603", "Ознакомиться")</f>
        <v>Ознакомиться</v>
      </c>
      <c r="W672" s="8" t="s">
        <v>3412</v>
      </c>
      <c r="X672" s="6"/>
      <c r="Y672" s="6"/>
      <c r="Z672" s="6"/>
      <c r="AA672" s="6" t="s">
        <v>111</v>
      </c>
      <c r="AB672" s="8"/>
    </row>
    <row r="673" spans="1:28" s="4" customFormat="1" ht="51.95" customHeight="1">
      <c r="A673" s="5">
        <v>0</v>
      </c>
      <c r="B673" s="6" t="s">
        <v>4147</v>
      </c>
      <c r="C673" s="7">
        <v>1776</v>
      </c>
      <c r="D673" s="8" t="s">
        <v>4148</v>
      </c>
      <c r="E673" s="8" t="s">
        <v>4149</v>
      </c>
      <c r="F673" s="8" t="s">
        <v>4150</v>
      </c>
      <c r="G673" s="6" t="s">
        <v>38</v>
      </c>
      <c r="H673" s="6" t="s">
        <v>39</v>
      </c>
      <c r="I673" s="8" t="s">
        <v>40</v>
      </c>
      <c r="J673" s="9">
        <v>1</v>
      </c>
      <c r="K673" s="9">
        <v>295</v>
      </c>
      <c r="L673" s="9">
        <v>2024</v>
      </c>
      <c r="M673" s="8" t="s">
        <v>4151</v>
      </c>
      <c r="N673" s="8" t="s">
        <v>42</v>
      </c>
      <c r="O673" s="8" t="s">
        <v>101</v>
      </c>
      <c r="P673" s="6" t="s">
        <v>44</v>
      </c>
      <c r="Q673" s="8" t="s">
        <v>45</v>
      </c>
      <c r="R673" s="10" t="s">
        <v>4152</v>
      </c>
      <c r="S673" s="11"/>
      <c r="T673" s="6"/>
      <c r="U673" s="24" t="str">
        <f>HYPERLINK("https://media.infra-m.ru/2141/2141112/cover/2141112.jpg", "Обложка")</f>
        <v>Обложка</v>
      </c>
      <c r="V673" s="24" t="str">
        <f>HYPERLINK("https://znanium.ru/catalog/product/2141112", "Ознакомиться")</f>
        <v>Ознакомиться</v>
      </c>
      <c r="W673" s="8" t="s">
        <v>4153</v>
      </c>
      <c r="X673" s="6"/>
      <c r="Y673" s="6"/>
      <c r="Z673" s="6"/>
      <c r="AA673" s="6" t="s">
        <v>58</v>
      </c>
      <c r="AB673" s="8" t="s">
        <v>3847</v>
      </c>
    </row>
    <row r="674" spans="1:28" s="4" customFormat="1" ht="51.95" customHeight="1">
      <c r="A674" s="5">
        <v>0</v>
      </c>
      <c r="B674" s="6" t="s">
        <v>4154</v>
      </c>
      <c r="C674" s="7">
        <v>1192.8</v>
      </c>
      <c r="D674" s="8" t="s">
        <v>4155</v>
      </c>
      <c r="E674" s="8" t="s">
        <v>4156</v>
      </c>
      <c r="F674" s="8" t="s">
        <v>4157</v>
      </c>
      <c r="G674" s="6" t="s">
        <v>132</v>
      </c>
      <c r="H674" s="6" t="s">
        <v>39</v>
      </c>
      <c r="I674" s="8" t="s">
        <v>40</v>
      </c>
      <c r="J674" s="9">
        <v>1</v>
      </c>
      <c r="K674" s="9">
        <v>576</v>
      </c>
      <c r="L674" s="9">
        <v>2025</v>
      </c>
      <c r="M674" s="8" t="s">
        <v>4158</v>
      </c>
      <c r="N674" s="8" t="s">
        <v>42</v>
      </c>
      <c r="O674" s="8" t="s">
        <v>101</v>
      </c>
      <c r="P674" s="6" t="s">
        <v>44</v>
      </c>
      <c r="Q674" s="8" t="s">
        <v>45</v>
      </c>
      <c r="R674" s="10" t="s">
        <v>390</v>
      </c>
      <c r="S674" s="11"/>
      <c r="T674" s="6"/>
      <c r="U674" s="24" t="str">
        <f>HYPERLINK("https://media.infra-m.ru/2204/2204089/cover/2204089.jpg", "Обложка")</f>
        <v>Обложка</v>
      </c>
      <c r="V674" s="12"/>
      <c r="W674" s="8" t="s">
        <v>3188</v>
      </c>
      <c r="X674" s="6"/>
      <c r="Y674" s="6"/>
      <c r="Z674" s="6"/>
      <c r="AA674" s="6" t="s">
        <v>339</v>
      </c>
      <c r="AB674" s="8"/>
    </row>
    <row r="675" spans="1:28" s="4" customFormat="1" ht="51.95" customHeight="1">
      <c r="A675" s="5">
        <v>0</v>
      </c>
      <c r="B675" s="6" t="s">
        <v>4159</v>
      </c>
      <c r="C675" s="7">
        <v>1012.8</v>
      </c>
      <c r="D675" s="8" t="s">
        <v>4160</v>
      </c>
      <c r="E675" s="8" t="s">
        <v>4161</v>
      </c>
      <c r="F675" s="8" t="s">
        <v>4162</v>
      </c>
      <c r="G675" s="6" t="s">
        <v>38</v>
      </c>
      <c r="H675" s="6" t="s">
        <v>39</v>
      </c>
      <c r="I675" s="8" t="s">
        <v>40</v>
      </c>
      <c r="J675" s="9">
        <v>1</v>
      </c>
      <c r="K675" s="9">
        <v>176</v>
      </c>
      <c r="L675" s="9">
        <v>2024</v>
      </c>
      <c r="M675" s="8" t="s">
        <v>4163</v>
      </c>
      <c r="N675" s="8" t="s">
        <v>54</v>
      </c>
      <c r="O675" s="8" t="s">
        <v>2811</v>
      </c>
      <c r="P675" s="6" t="s">
        <v>44</v>
      </c>
      <c r="Q675" s="8" t="s">
        <v>45</v>
      </c>
      <c r="R675" s="10" t="s">
        <v>4164</v>
      </c>
      <c r="S675" s="11"/>
      <c r="T675" s="6"/>
      <c r="U675" s="24" t="str">
        <f>HYPERLINK("https://media.infra-m.ru/2108/2108472/cover/2108472.jpg", "Обложка")</f>
        <v>Обложка</v>
      </c>
      <c r="V675" s="24" t="str">
        <f>HYPERLINK("https://znanium.ru/catalog/product/2108472", "Ознакомиться")</f>
        <v>Ознакомиться</v>
      </c>
      <c r="W675" s="8" t="s">
        <v>4165</v>
      </c>
      <c r="X675" s="6"/>
      <c r="Y675" s="6"/>
      <c r="Z675" s="6"/>
      <c r="AA675" s="6" t="s">
        <v>111</v>
      </c>
      <c r="AB675" s="8"/>
    </row>
    <row r="676" spans="1:28" s="4" customFormat="1" ht="51.95" customHeight="1">
      <c r="A676" s="5">
        <v>0</v>
      </c>
      <c r="B676" s="6" t="s">
        <v>4166</v>
      </c>
      <c r="C676" s="13">
        <v>972</v>
      </c>
      <c r="D676" s="8" t="s">
        <v>4167</v>
      </c>
      <c r="E676" s="8" t="s">
        <v>4168</v>
      </c>
      <c r="F676" s="8" t="s">
        <v>4169</v>
      </c>
      <c r="G676" s="6" t="s">
        <v>132</v>
      </c>
      <c r="H676" s="6" t="s">
        <v>39</v>
      </c>
      <c r="I676" s="8" t="s">
        <v>40</v>
      </c>
      <c r="J676" s="9">
        <v>1</v>
      </c>
      <c r="K676" s="9">
        <v>212</v>
      </c>
      <c r="L676" s="9">
        <v>2022</v>
      </c>
      <c r="M676" s="8" t="s">
        <v>4170</v>
      </c>
      <c r="N676" s="8" t="s">
        <v>42</v>
      </c>
      <c r="O676" s="8" t="s">
        <v>189</v>
      </c>
      <c r="P676" s="6" t="s">
        <v>44</v>
      </c>
      <c r="Q676" s="8" t="s">
        <v>45</v>
      </c>
      <c r="R676" s="10" t="s">
        <v>4171</v>
      </c>
      <c r="S676" s="11"/>
      <c r="T676" s="6"/>
      <c r="U676" s="24" t="str">
        <f>HYPERLINK("https://media.infra-m.ru/1703/1703180/cover/1703180.jpg", "Обложка")</f>
        <v>Обложка</v>
      </c>
      <c r="V676" s="24" t="str">
        <f>HYPERLINK("https://znanium.ru/catalog/product/1703180", "Ознакомиться")</f>
        <v>Ознакомиться</v>
      </c>
      <c r="W676" s="8"/>
      <c r="X676" s="6"/>
      <c r="Y676" s="6"/>
      <c r="Z676" s="6"/>
      <c r="AA676" s="6" t="s">
        <v>111</v>
      </c>
      <c r="AB676" s="8"/>
    </row>
    <row r="677" spans="1:28" s="4" customFormat="1" ht="44.1" customHeight="1">
      <c r="A677" s="5">
        <v>0</v>
      </c>
      <c r="B677" s="6" t="s">
        <v>4172</v>
      </c>
      <c r="C677" s="7">
        <v>2040</v>
      </c>
      <c r="D677" s="8" t="s">
        <v>4173</v>
      </c>
      <c r="E677" s="8" t="s">
        <v>4174</v>
      </c>
      <c r="F677" s="8" t="s">
        <v>4175</v>
      </c>
      <c r="G677" s="6" t="s">
        <v>81</v>
      </c>
      <c r="H677" s="6" t="s">
        <v>39</v>
      </c>
      <c r="I677" s="8" t="s">
        <v>1055</v>
      </c>
      <c r="J677" s="9">
        <v>1</v>
      </c>
      <c r="K677" s="9">
        <v>320</v>
      </c>
      <c r="L677" s="9">
        <v>2026</v>
      </c>
      <c r="M677" s="8" t="s">
        <v>4176</v>
      </c>
      <c r="N677" s="8" t="s">
        <v>42</v>
      </c>
      <c r="O677" s="8" t="s">
        <v>1002</v>
      </c>
      <c r="P677" s="6" t="s">
        <v>1057</v>
      </c>
      <c r="Q677" s="8" t="s">
        <v>287</v>
      </c>
      <c r="R677" s="10" t="s">
        <v>4177</v>
      </c>
      <c r="S677" s="11"/>
      <c r="T677" s="6"/>
      <c r="U677" s="24" t="str">
        <f>HYPERLINK("https://media.infra-m.ru/2221/2221541/cover/2221541.jpg", "Обложка")</f>
        <v>Обложка</v>
      </c>
      <c r="V677" s="24" t="str">
        <f>HYPERLINK("https://znanium.ru/catalog/product/2221541", "Ознакомиться")</f>
        <v>Ознакомиться</v>
      </c>
      <c r="W677" s="8" t="s">
        <v>4178</v>
      </c>
      <c r="X677" s="6"/>
      <c r="Y677" s="6"/>
      <c r="Z677" s="6"/>
      <c r="AA677" s="6" t="s">
        <v>159</v>
      </c>
      <c r="AB677" s="8"/>
    </row>
    <row r="678" spans="1:28" s="4" customFormat="1" ht="44.1" customHeight="1">
      <c r="A678" s="5">
        <v>0</v>
      </c>
      <c r="B678" s="6" t="s">
        <v>4179</v>
      </c>
      <c r="C678" s="7">
        <v>2368.8000000000002</v>
      </c>
      <c r="D678" s="8" t="s">
        <v>4180</v>
      </c>
      <c r="E678" s="8" t="s">
        <v>4181</v>
      </c>
      <c r="F678" s="8" t="s">
        <v>2428</v>
      </c>
      <c r="G678" s="6" t="s">
        <v>132</v>
      </c>
      <c r="H678" s="6" t="s">
        <v>39</v>
      </c>
      <c r="I678" s="8" t="s">
        <v>40</v>
      </c>
      <c r="J678" s="9">
        <v>1</v>
      </c>
      <c r="K678" s="9">
        <v>380</v>
      </c>
      <c r="L678" s="9">
        <v>2026</v>
      </c>
      <c r="M678" s="8" t="s">
        <v>4182</v>
      </c>
      <c r="N678" s="8" t="s">
        <v>229</v>
      </c>
      <c r="O678" s="8" t="s">
        <v>230</v>
      </c>
      <c r="P678" s="6" t="s">
        <v>44</v>
      </c>
      <c r="Q678" s="8" t="s">
        <v>45</v>
      </c>
      <c r="R678" s="10" t="s">
        <v>3100</v>
      </c>
      <c r="S678" s="11"/>
      <c r="T678" s="6"/>
      <c r="U678" s="24" t="str">
        <f>HYPERLINK("https://media.infra-m.ru/2222/2222311/cover/2222311.jpg", "Обложка")</f>
        <v>Обложка</v>
      </c>
      <c r="V678" s="24" t="str">
        <f>HYPERLINK("https://znanium.ru/catalog/product/2116929", "Ознакомиться")</f>
        <v>Ознакомиться</v>
      </c>
      <c r="W678" s="8" t="s">
        <v>937</v>
      </c>
      <c r="X678" s="6"/>
      <c r="Y678" s="6"/>
      <c r="Z678" s="6"/>
      <c r="AA678" s="6" t="s">
        <v>168</v>
      </c>
      <c r="AB678" s="8"/>
    </row>
    <row r="679" spans="1:28" s="4" customFormat="1" ht="51.95" customHeight="1">
      <c r="A679" s="5">
        <v>0</v>
      </c>
      <c r="B679" s="6" t="s">
        <v>4183</v>
      </c>
      <c r="C679" s="7">
        <v>1488</v>
      </c>
      <c r="D679" s="8" t="s">
        <v>4184</v>
      </c>
      <c r="E679" s="8" t="s">
        <v>4185</v>
      </c>
      <c r="F679" s="8" t="s">
        <v>4186</v>
      </c>
      <c r="G679" s="6" t="s">
        <v>81</v>
      </c>
      <c r="H679" s="6" t="s">
        <v>39</v>
      </c>
      <c r="I679" s="8" t="s">
        <v>164</v>
      </c>
      <c r="J679" s="9">
        <v>1</v>
      </c>
      <c r="K679" s="9">
        <v>264</v>
      </c>
      <c r="L679" s="9">
        <v>2024</v>
      </c>
      <c r="M679" s="8" t="s">
        <v>4187</v>
      </c>
      <c r="N679" s="8" t="s">
        <v>229</v>
      </c>
      <c r="O679" s="8" t="s">
        <v>230</v>
      </c>
      <c r="P679" s="6" t="s">
        <v>44</v>
      </c>
      <c r="Q679" s="8" t="s">
        <v>45</v>
      </c>
      <c r="R679" s="10" t="s">
        <v>4188</v>
      </c>
      <c r="S679" s="11"/>
      <c r="T679" s="6"/>
      <c r="U679" s="24" t="str">
        <f>HYPERLINK("https://media.infra-m.ru/2144/2144887/cover/2144887.jpg", "Обложка")</f>
        <v>Обложка</v>
      </c>
      <c r="V679" s="24" t="str">
        <f>HYPERLINK("https://znanium.ru/catalog/product/2144887", "Ознакомиться")</f>
        <v>Ознакомиться</v>
      </c>
      <c r="W679" s="8" t="s">
        <v>937</v>
      </c>
      <c r="X679" s="6"/>
      <c r="Y679" s="6"/>
      <c r="Z679" s="6"/>
      <c r="AA679" s="6" t="s">
        <v>369</v>
      </c>
      <c r="AB679" s="8"/>
    </row>
    <row r="680" spans="1:28" s="4" customFormat="1" ht="42" customHeight="1">
      <c r="A680" s="5">
        <v>0</v>
      </c>
      <c r="B680" s="6" t="s">
        <v>4189</v>
      </c>
      <c r="C680" s="7">
        <v>1524</v>
      </c>
      <c r="D680" s="8" t="s">
        <v>4190</v>
      </c>
      <c r="E680" s="8" t="s">
        <v>4191</v>
      </c>
      <c r="F680" s="8" t="s">
        <v>4192</v>
      </c>
      <c r="G680" s="6" t="s">
        <v>81</v>
      </c>
      <c r="H680" s="6" t="s">
        <v>39</v>
      </c>
      <c r="I680" s="8" t="s">
        <v>164</v>
      </c>
      <c r="J680" s="9">
        <v>1</v>
      </c>
      <c r="K680" s="9">
        <v>243</v>
      </c>
      <c r="L680" s="9">
        <v>2026</v>
      </c>
      <c r="M680" s="8" t="s">
        <v>4193</v>
      </c>
      <c r="N680" s="8" t="s">
        <v>229</v>
      </c>
      <c r="O680" s="8" t="s">
        <v>230</v>
      </c>
      <c r="P680" s="6" t="s">
        <v>44</v>
      </c>
      <c r="Q680" s="8" t="s">
        <v>45</v>
      </c>
      <c r="R680" s="10" t="s">
        <v>231</v>
      </c>
      <c r="S680" s="11"/>
      <c r="T680" s="6"/>
      <c r="U680" s="24" t="str">
        <f>HYPERLINK("https://media.infra-m.ru/2184/2184528/cover/2184528.jpg", "Обложка")</f>
        <v>Обложка</v>
      </c>
      <c r="V680" s="24" t="str">
        <f>HYPERLINK("https://znanium.ru/catalog/product/2184528", "Ознакомиться")</f>
        <v>Ознакомиться</v>
      </c>
      <c r="W680" s="8" t="s">
        <v>937</v>
      </c>
      <c r="X680" s="6"/>
      <c r="Y680" s="6"/>
      <c r="Z680" s="6"/>
      <c r="AA680" s="6" t="s">
        <v>68</v>
      </c>
      <c r="AB680" s="8"/>
    </row>
    <row r="681" spans="1:28" s="4" customFormat="1" ht="42" customHeight="1">
      <c r="A681" s="5">
        <v>0</v>
      </c>
      <c r="B681" s="6" t="s">
        <v>4194</v>
      </c>
      <c r="C681" s="7">
        <v>3940.8</v>
      </c>
      <c r="D681" s="8" t="s">
        <v>4195</v>
      </c>
      <c r="E681" s="8" t="s">
        <v>4196</v>
      </c>
      <c r="F681" s="8" t="s">
        <v>4197</v>
      </c>
      <c r="G681" s="6" t="s">
        <v>132</v>
      </c>
      <c r="H681" s="6" t="s">
        <v>39</v>
      </c>
      <c r="I681" s="8" t="s">
        <v>828</v>
      </c>
      <c r="J681" s="9">
        <v>1</v>
      </c>
      <c r="K681" s="9">
        <v>676</v>
      </c>
      <c r="L681" s="9">
        <v>2024</v>
      </c>
      <c r="M681" s="8" t="s">
        <v>4198</v>
      </c>
      <c r="N681" s="8" t="s">
        <v>42</v>
      </c>
      <c r="O681" s="8" t="s">
        <v>65</v>
      </c>
      <c r="P681" s="6" t="s">
        <v>1264</v>
      </c>
      <c r="Q681" s="8" t="s">
        <v>45</v>
      </c>
      <c r="R681" s="10" t="s">
        <v>4199</v>
      </c>
      <c r="S681" s="11"/>
      <c r="T681" s="6"/>
      <c r="U681" s="24" t="str">
        <f>HYPERLINK("https://media.infra-m.ru/2157/2157162/cover/2157162.jpg", "Обложка")</f>
        <v>Обложка</v>
      </c>
      <c r="V681" s="24" t="str">
        <f>HYPERLINK("https://znanium.ru/catalog/product/2156587", "Ознакомиться")</f>
        <v>Ознакомиться</v>
      </c>
      <c r="W681" s="8"/>
      <c r="X681" s="6"/>
      <c r="Y681" s="6"/>
      <c r="Z681" s="6"/>
      <c r="AA681" s="6" t="s">
        <v>58</v>
      </c>
      <c r="AB681" s="8"/>
    </row>
    <row r="682" spans="1:28" s="4" customFormat="1" ht="44.1" customHeight="1">
      <c r="A682" s="5">
        <v>0</v>
      </c>
      <c r="B682" s="6" t="s">
        <v>4200</v>
      </c>
      <c r="C682" s="7">
        <v>1444.8</v>
      </c>
      <c r="D682" s="8" t="s">
        <v>4201</v>
      </c>
      <c r="E682" s="8" t="s">
        <v>4202</v>
      </c>
      <c r="F682" s="8" t="s">
        <v>4203</v>
      </c>
      <c r="G682" s="6" t="s">
        <v>132</v>
      </c>
      <c r="H682" s="6" t="s">
        <v>326</v>
      </c>
      <c r="I682" s="8"/>
      <c r="J682" s="9">
        <v>1</v>
      </c>
      <c r="K682" s="9">
        <v>240</v>
      </c>
      <c r="L682" s="9">
        <v>2025</v>
      </c>
      <c r="M682" s="8" t="s">
        <v>4204</v>
      </c>
      <c r="N682" s="8" t="s">
        <v>42</v>
      </c>
      <c r="O682" s="8" t="s">
        <v>1002</v>
      </c>
      <c r="P682" s="6" t="s">
        <v>2150</v>
      </c>
      <c r="Q682" s="8" t="s">
        <v>416</v>
      </c>
      <c r="R682" s="10" t="s">
        <v>4205</v>
      </c>
      <c r="S682" s="11"/>
      <c r="T682" s="6"/>
      <c r="U682" s="24" t="str">
        <f>HYPERLINK("https://media.infra-m.ru/2170/2170072/cover/2170072.jpg", "Обложка")</f>
        <v>Обложка</v>
      </c>
      <c r="V682" s="12"/>
      <c r="W682" s="8" t="s">
        <v>3564</v>
      </c>
      <c r="X682" s="6"/>
      <c r="Y682" s="6"/>
      <c r="Z682" s="6"/>
      <c r="AA682" s="6" t="s">
        <v>94</v>
      </c>
      <c r="AB682" s="8"/>
    </row>
    <row r="683" spans="1:28" s="4" customFormat="1" ht="42" customHeight="1">
      <c r="A683" s="5">
        <v>0</v>
      </c>
      <c r="B683" s="6" t="s">
        <v>4206</v>
      </c>
      <c r="C683" s="7">
        <v>2028</v>
      </c>
      <c r="D683" s="8" t="s">
        <v>4207</v>
      </c>
      <c r="E683" s="8" t="s">
        <v>4208</v>
      </c>
      <c r="F683" s="8" t="s">
        <v>4209</v>
      </c>
      <c r="G683" s="6" t="s">
        <v>132</v>
      </c>
      <c r="H683" s="6" t="s">
        <v>39</v>
      </c>
      <c r="I683" s="8" t="s">
        <v>40</v>
      </c>
      <c r="J683" s="9">
        <v>1</v>
      </c>
      <c r="K683" s="9">
        <v>392</v>
      </c>
      <c r="L683" s="9">
        <v>2022</v>
      </c>
      <c r="M683" s="8" t="s">
        <v>4210</v>
      </c>
      <c r="N683" s="8" t="s">
        <v>284</v>
      </c>
      <c r="O683" s="8" t="s">
        <v>1549</v>
      </c>
      <c r="P683" s="6" t="s">
        <v>44</v>
      </c>
      <c r="Q683" s="8" t="s">
        <v>45</v>
      </c>
      <c r="R683" s="10" t="s">
        <v>4211</v>
      </c>
      <c r="S683" s="11"/>
      <c r="T683" s="6"/>
      <c r="U683" s="24" t="str">
        <f>HYPERLINK("https://media.infra-m.ru/1859/1859976/cover/1859976.jpg", "Обложка")</f>
        <v>Обложка</v>
      </c>
      <c r="V683" s="24" t="str">
        <f>HYPERLINK("https://znanium.ru/catalog/product/1859976", "Ознакомиться")</f>
        <v>Ознакомиться</v>
      </c>
      <c r="W683" s="8" t="s">
        <v>176</v>
      </c>
      <c r="X683" s="6"/>
      <c r="Y683" s="6"/>
      <c r="Z683" s="6"/>
      <c r="AA683" s="6" t="s">
        <v>111</v>
      </c>
      <c r="AB683" s="8"/>
    </row>
    <row r="684" spans="1:28" s="4" customFormat="1" ht="51.95" customHeight="1">
      <c r="A684" s="5">
        <v>0</v>
      </c>
      <c r="B684" s="6" t="s">
        <v>4212</v>
      </c>
      <c r="C684" s="7">
        <v>1116</v>
      </c>
      <c r="D684" s="8" t="s">
        <v>4213</v>
      </c>
      <c r="E684" s="8" t="s">
        <v>4214</v>
      </c>
      <c r="F684" s="8" t="s">
        <v>1830</v>
      </c>
      <c r="G684" s="6" t="s">
        <v>81</v>
      </c>
      <c r="H684" s="6" t="s">
        <v>39</v>
      </c>
      <c r="I684" s="8" t="s">
        <v>1055</v>
      </c>
      <c r="J684" s="9">
        <v>1</v>
      </c>
      <c r="K684" s="9">
        <v>175</v>
      </c>
      <c r="L684" s="9">
        <v>2025</v>
      </c>
      <c r="M684" s="8" t="s">
        <v>4215</v>
      </c>
      <c r="N684" s="8" t="s">
        <v>54</v>
      </c>
      <c r="O684" s="8" t="s">
        <v>2811</v>
      </c>
      <c r="P684" s="6" t="s">
        <v>1057</v>
      </c>
      <c r="Q684" s="8" t="s">
        <v>287</v>
      </c>
      <c r="R684" s="10" t="s">
        <v>4216</v>
      </c>
      <c r="S684" s="11"/>
      <c r="T684" s="6"/>
      <c r="U684" s="24" t="str">
        <f>HYPERLINK("https://media.infra-m.ru/2183/2183790/cover/2183790.jpg", "Обложка")</f>
        <v>Обложка</v>
      </c>
      <c r="V684" s="24" t="str">
        <f>HYPERLINK("https://znanium.ru/catalog/product/2183790", "Ознакомиться")</f>
        <v>Ознакомиться</v>
      </c>
      <c r="W684" s="8" t="s">
        <v>314</v>
      </c>
      <c r="X684" s="6"/>
      <c r="Y684" s="6"/>
      <c r="Z684" s="6"/>
      <c r="AA684" s="6" t="s">
        <v>159</v>
      </c>
      <c r="AB684" s="8"/>
    </row>
    <row r="685" spans="1:28" s="4" customFormat="1" ht="42" customHeight="1">
      <c r="A685" s="5">
        <v>0</v>
      </c>
      <c r="B685" s="6" t="s">
        <v>4217</v>
      </c>
      <c r="C685" s="7">
        <v>1312.8</v>
      </c>
      <c r="D685" s="8" t="s">
        <v>4218</v>
      </c>
      <c r="E685" s="8" t="s">
        <v>4219</v>
      </c>
      <c r="F685" s="8" t="s">
        <v>4220</v>
      </c>
      <c r="G685" s="6" t="s">
        <v>81</v>
      </c>
      <c r="H685" s="6" t="s">
        <v>39</v>
      </c>
      <c r="I685" s="8" t="s">
        <v>40</v>
      </c>
      <c r="J685" s="9">
        <v>1</v>
      </c>
      <c r="K685" s="9">
        <v>232</v>
      </c>
      <c r="L685" s="9">
        <v>2024</v>
      </c>
      <c r="M685" s="8" t="s">
        <v>4221</v>
      </c>
      <c r="N685" s="8" t="s">
        <v>42</v>
      </c>
      <c r="O685" s="8" t="s">
        <v>189</v>
      </c>
      <c r="P685" s="6" t="s">
        <v>44</v>
      </c>
      <c r="Q685" s="8" t="s">
        <v>45</v>
      </c>
      <c r="R685" s="10" t="s">
        <v>4222</v>
      </c>
      <c r="S685" s="11"/>
      <c r="T685" s="6"/>
      <c r="U685" s="24" t="str">
        <f>HYPERLINK("https://media.infra-m.ru/2144/2144093/cover/2144093.jpg", "Обложка")</f>
        <v>Обложка</v>
      </c>
      <c r="V685" s="24" t="str">
        <f>HYPERLINK("https://znanium.ru/catalog/product/1896429", "Ознакомиться")</f>
        <v>Ознакомиться</v>
      </c>
      <c r="W685" s="8" t="s">
        <v>4223</v>
      </c>
      <c r="X685" s="6"/>
      <c r="Y685" s="6"/>
      <c r="Z685" s="6"/>
      <c r="AA685" s="6" t="s">
        <v>339</v>
      </c>
      <c r="AB685" s="8"/>
    </row>
    <row r="686" spans="1:28" s="4" customFormat="1" ht="51.95" customHeight="1">
      <c r="A686" s="5">
        <v>0</v>
      </c>
      <c r="B686" s="6" t="s">
        <v>4224</v>
      </c>
      <c r="C686" s="7">
        <v>2152.8000000000002</v>
      </c>
      <c r="D686" s="8" t="s">
        <v>4225</v>
      </c>
      <c r="E686" s="8" t="s">
        <v>4226</v>
      </c>
      <c r="F686" s="8" t="s">
        <v>1598</v>
      </c>
      <c r="G686" s="6" t="s">
        <v>81</v>
      </c>
      <c r="H686" s="6" t="s">
        <v>39</v>
      </c>
      <c r="I686" s="8" t="s">
        <v>1055</v>
      </c>
      <c r="J686" s="9">
        <v>1</v>
      </c>
      <c r="K686" s="9">
        <v>333</v>
      </c>
      <c r="L686" s="9">
        <v>2026</v>
      </c>
      <c r="M686" s="8" t="s">
        <v>4227</v>
      </c>
      <c r="N686" s="8" t="s">
        <v>42</v>
      </c>
      <c r="O686" s="8" t="s">
        <v>43</v>
      </c>
      <c r="P686" s="6" t="s">
        <v>1057</v>
      </c>
      <c r="Q686" s="8"/>
      <c r="R686" s="10" t="s">
        <v>4228</v>
      </c>
      <c r="S686" s="11"/>
      <c r="T686" s="6"/>
      <c r="U686" s="24" t="str">
        <f>HYPERLINK("https://media.infra-m.ru/2221/2221990/cover/2221990.jpg", "Обложка")</f>
        <v>Обложка</v>
      </c>
      <c r="V686" s="24" t="str">
        <f>HYPERLINK("https://znanium.ru/catalog/product/2216215", "Ознакомиться")</f>
        <v>Ознакомиться</v>
      </c>
      <c r="W686" s="8" t="s">
        <v>1601</v>
      </c>
      <c r="X686" s="6"/>
      <c r="Y686" s="6"/>
      <c r="Z686" s="6"/>
      <c r="AA686" s="6" t="s">
        <v>159</v>
      </c>
      <c r="AB686" s="8"/>
    </row>
    <row r="687" spans="1:28" s="4" customFormat="1" ht="42" customHeight="1">
      <c r="A687" s="5">
        <v>0</v>
      </c>
      <c r="B687" s="6" t="s">
        <v>4229</v>
      </c>
      <c r="C687" s="7">
        <v>2172</v>
      </c>
      <c r="D687" s="8" t="s">
        <v>4230</v>
      </c>
      <c r="E687" s="8" t="s">
        <v>4231</v>
      </c>
      <c r="F687" s="8" t="s">
        <v>4232</v>
      </c>
      <c r="G687" s="6" t="s">
        <v>132</v>
      </c>
      <c r="H687" s="6" t="s">
        <v>39</v>
      </c>
      <c r="I687" s="8" t="s">
        <v>40</v>
      </c>
      <c r="J687" s="9">
        <v>1</v>
      </c>
      <c r="K687" s="9">
        <v>362</v>
      </c>
      <c r="L687" s="9">
        <v>2025</v>
      </c>
      <c r="M687" s="8" t="s">
        <v>4233</v>
      </c>
      <c r="N687" s="8" t="s">
        <v>54</v>
      </c>
      <c r="O687" s="8" t="s">
        <v>55</v>
      </c>
      <c r="P687" s="6" t="s">
        <v>44</v>
      </c>
      <c r="Q687" s="8" t="s">
        <v>45</v>
      </c>
      <c r="R687" s="10" t="s">
        <v>4234</v>
      </c>
      <c r="S687" s="11"/>
      <c r="T687" s="6"/>
      <c r="U687" s="24" t="str">
        <f>HYPERLINK("https://media.infra-m.ru/2074/2074254/cover/2074254.jpg", "Обложка")</f>
        <v>Обложка</v>
      </c>
      <c r="V687" s="24" t="str">
        <f>HYPERLINK("https://znanium.ru/catalog/product/2074254", "Ознакомиться")</f>
        <v>Ознакомиться</v>
      </c>
      <c r="W687" s="8" t="s">
        <v>3449</v>
      </c>
      <c r="X687" s="6"/>
      <c r="Y687" s="6"/>
      <c r="Z687" s="6"/>
      <c r="AA687" s="6" t="s">
        <v>159</v>
      </c>
      <c r="AB687" s="8"/>
    </row>
    <row r="688" spans="1:28" s="4" customFormat="1" ht="51.95" customHeight="1">
      <c r="A688" s="5">
        <v>0</v>
      </c>
      <c r="B688" s="6" t="s">
        <v>4235</v>
      </c>
      <c r="C688" s="7">
        <v>1584</v>
      </c>
      <c r="D688" s="8" t="s">
        <v>4236</v>
      </c>
      <c r="E688" s="8" t="s">
        <v>4237</v>
      </c>
      <c r="F688" s="8" t="s">
        <v>4238</v>
      </c>
      <c r="G688" s="6" t="s">
        <v>38</v>
      </c>
      <c r="H688" s="6" t="s">
        <v>39</v>
      </c>
      <c r="I688" s="8" t="s">
        <v>40</v>
      </c>
      <c r="J688" s="9">
        <v>1</v>
      </c>
      <c r="K688" s="9">
        <v>263</v>
      </c>
      <c r="L688" s="9">
        <v>2024</v>
      </c>
      <c r="M688" s="8" t="s">
        <v>4239</v>
      </c>
      <c r="N688" s="8" t="s">
        <v>42</v>
      </c>
      <c r="O688" s="8" t="s">
        <v>189</v>
      </c>
      <c r="P688" s="6" t="s">
        <v>44</v>
      </c>
      <c r="Q688" s="8" t="s">
        <v>45</v>
      </c>
      <c r="R688" s="10" t="s">
        <v>4240</v>
      </c>
      <c r="S688" s="11"/>
      <c r="T688" s="6"/>
      <c r="U688" s="24" t="str">
        <f>HYPERLINK("https://media.infra-m.ru/2156/2156914/cover/2156914.jpg", "Обложка")</f>
        <v>Обложка</v>
      </c>
      <c r="V688" s="24" t="str">
        <f>HYPERLINK("https://znanium.ru/catalog/product/2156914", "Ознакомиться")</f>
        <v>Ознакомиться</v>
      </c>
      <c r="W688" s="8" t="s">
        <v>4241</v>
      </c>
      <c r="X688" s="6"/>
      <c r="Y688" s="6"/>
      <c r="Z688" s="6"/>
      <c r="AA688" s="6" t="s">
        <v>127</v>
      </c>
      <c r="AB688" s="8"/>
    </row>
    <row r="689" spans="1:28" s="4" customFormat="1" ht="51.95" customHeight="1">
      <c r="A689" s="5">
        <v>0</v>
      </c>
      <c r="B689" s="6" t="s">
        <v>4242</v>
      </c>
      <c r="C689" s="7">
        <v>2386.8000000000002</v>
      </c>
      <c r="D689" s="8" t="s">
        <v>4243</v>
      </c>
      <c r="E689" s="8" t="s">
        <v>4244</v>
      </c>
      <c r="F689" s="8" t="s">
        <v>4245</v>
      </c>
      <c r="G689" s="6" t="s">
        <v>132</v>
      </c>
      <c r="H689" s="6" t="s">
        <v>39</v>
      </c>
      <c r="I689" s="8" t="s">
        <v>40</v>
      </c>
      <c r="J689" s="9">
        <v>1</v>
      </c>
      <c r="K689" s="9">
        <v>370</v>
      </c>
      <c r="L689" s="9">
        <v>2025</v>
      </c>
      <c r="M689" s="8" t="s">
        <v>4246</v>
      </c>
      <c r="N689" s="8" t="s">
        <v>220</v>
      </c>
      <c r="O689" s="8" t="s">
        <v>296</v>
      </c>
      <c r="P689" s="6" t="s">
        <v>44</v>
      </c>
      <c r="Q689" s="8" t="s">
        <v>45</v>
      </c>
      <c r="R689" s="10" t="s">
        <v>4247</v>
      </c>
      <c r="S689" s="11"/>
      <c r="T689" s="6"/>
      <c r="U689" s="24" t="str">
        <f>HYPERLINK("https://media.infra-m.ru/2133/2133675/cover/2133675.jpg", "Обложка")</f>
        <v>Обложка</v>
      </c>
      <c r="V689" s="24" t="str">
        <f>HYPERLINK("https://znanium.ru/catalog/product/2133675", "Ознакомиться")</f>
        <v>Ознакомиться</v>
      </c>
      <c r="W689" s="8" t="s">
        <v>3378</v>
      </c>
      <c r="X689" s="6"/>
      <c r="Y689" s="6"/>
      <c r="Z689" s="6"/>
      <c r="AA689" s="6" t="s">
        <v>159</v>
      </c>
      <c r="AB689" s="8"/>
    </row>
    <row r="690" spans="1:28" s="4" customFormat="1" ht="42" customHeight="1">
      <c r="A690" s="5">
        <v>0</v>
      </c>
      <c r="B690" s="6" t="s">
        <v>4248</v>
      </c>
      <c r="C690" s="7">
        <v>2220</v>
      </c>
      <c r="D690" s="8" t="s">
        <v>4249</v>
      </c>
      <c r="E690" s="8" t="s">
        <v>4250</v>
      </c>
      <c r="F690" s="8" t="s">
        <v>4251</v>
      </c>
      <c r="G690" s="6" t="s">
        <v>132</v>
      </c>
      <c r="H690" s="6" t="s">
        <v>39</v>
      </c>
      <c r="I690" s="8" t="s">
        <v>40</v>
      </c>
      <c r="J690" s="9">
        <v>1</v>
      </c>
      <c r="K690" s="9">
        <v>393</v>
      </c>
      <c r="L690" s="9">
        <v>2025</v>
      </c>
      <c r="M690" s="8" t="s">
        <v>4252</v>
      </c>
      <c r="N690" s="8" t="s">
        <v>42</v>
      </c>
      <c r="O690" s="8" t="s">
        <v>101</v>
      </c>
      <c r="P690" s="6" t="s">
        <v>44</v>
      </c>
      <c r="Q690" s="8" t="s">
        <v>45</v>
      </c>
      <c r="R690" s="10" t="s">
        <v>874</v>
      </c>
      <c r="S690" s="11"/>
      <c r="T690" s="6"/>
      <c r="U690" s="24" t="str">
        <f>HYPERLINK("https://media.infra-m.ru/2137/2137535/cover/2137535.jpg", "Обложка")</f>
        <v>Обложка</v>
      </c>
      <c r="V690" s="24" t="str">
        <f>HYPERLINK("https://znanium.ru/catalog/product/2232015", "Ознакомиться")</f>
        <v>Ознакомиться</v>
      </c>
      <c r="W690" s="8" t="s">
        <v>3519</v>
      </c>
      <c r="X690" s="6"/>
      <c r="Y690" s="6"/>
      <c r="Z690" s="6"/>
      <c r="AA690" s="6" t="s">
        <v>159</v>
      </c>
      <c r="AB690" s="8" t="s">
        <v>4253</v>
      </c>
    </row>
    <row r="691" spans="1:28" s="4" customFormat="1" ht="51.95" customHeight="1">
      <c r="A691" s="5">
        <v>0</v>
      </c>
      <c r="B691" s="6" t="s">
        <v>4254</v>
      </c>
      <c r="C691" s="7">
        <v>4200</v>
      </c>
      <c r="D691" s="8" t="s">
        <v>4255</v>
      </c>
      <c r="E691" s="8" t="s">
        <v>4256</v>
      </c>
      <c r="F691" s="8" t="s">
        <v>4257</v>
      </c>
      <c r="G691" s="6" t="s">
        <v>132</v>
      </c>
      <c r="H691" s="6" t="s">
        <v>99</v>
      </c>
      <c r="I691" s="8"/>
      <c r="J691" s="9">
        <v>1</v>
      </c>
      <c r="K691" s="9">
        <v>640</v>
      </c>
      <c r="L691" s="9">
        <v>2026</v>
      </c>
      <c r="M691" s="8" t="s">
        <v>4258</v>
      </c>
      <c r="N691" s="8" t="s">
        <v>42</v>
      </c>
      <c r="O691" s="8" t="s">
        <v>101</v>
      </c>
      <c r="P691" s="6" t="s">
        <v>44</v>
      </c>
      <c r="Q691" s="8" t="s">
        <v>45</v>
      </c>
      <c r="R691" s="10" t="s">
        <v>4259</v>
      </c>
      <c r="S691" s="11"/>
      <c r="T691" s="6"/>
      <c r="U691" s="24" t="str">
        <f>HYPERLINK("https://media.infra-m.ru/2218/2218405/cover/2218405.jpg", "Обложка")</f>
        <v>Обложка</v>
      </c>
      <c r="V691" s="24" t="str">
        <f>HYPERLINK("https://znanium.ru/catalog/product/2218405", "Ознакомиться")</f>
        <v>Ознакомиться</v>
      </c>
      <c r="W691" s="8" t="s">
        <v>4260</v>
      </c>
      <c r="X691" s="6"/>
      <c r="Y691" s="6" t="s">
        <v>30</v>
      </c>
      <c r="Z691" s="6"/>
      <c r="AA691" s="6" t="s">
        <v>339</v>
      </c>
      <c r="AB691" s="8"/>
    </row>
    <row r="692" spans="1:28" s="4" customFormat="1" ht="42" customHeight="1">
      <c r="A692" s="5">
        <v>0</v>
      </c>
      <c r="B692" s="6" t="s">
        <v>4261</v>
      </c>
      <c r="C692" s="7">
        <v>3360</v>
      </c>
      <c r="D692" s="8" t="s">
        <v>4262</v>
      </c>
      <c r="E692" s="8" t="s">
        <v>4263</v>
      </c>
      <c r="F692" s="8" t="s">
        <v>4264</v>
      </c>
      <c r="G692" s="6" t="s">
        <v>132</v>
      </c>
      <c r="H692" s="6" t="s">
        <v>99</v>
      </c>
      <c r="I692" s="8"/>
      <c r="J692" s="9">
        <v>1</v>
      </c>
      <c r="K692" s="9">
        <v>688</v>
      </c>
      <c r="L692" s="9">
        <v>2024</v>
      </c>
      <c r="M692" s="8" t="s">
        <v>4265</v>
      </c>
      <c r="N692" s="8" t="s">
        <v>42</v>
      </c>
      <c r="O692" s="8" t="s">
        <v>101</v>
      </c>
      <c r="P692" s="6" t="s">
        <v>44</v>
      </c>
      <c r="Q692" s="8" t="s">
        <v>45</v>
      </c>
      <c r="R692" s="10" t="s">
        <v>874</v>
      </c>
      <c r="S692" s="11"/>
      <c r="T692" s="6"/>
      <c r="U692" s="24" t="str">
        <f>HYPERLINK("https://media.infra-m.ru/2150/2150943/cover/2150943.jpg", "Обложка")</f>
        <v>Обложка</v>
      </c>
      <c r="V692" s="12"/>
      <c r="W692" s="8" t="s">
        <v>1627</v>
      </c>
      <c r="X692" s="6"/>
      <c r="Y692" s="6"/>
      <c r="Z692" s="6"/>
      <c r="AA692" s="6" t="s">
        <v>369</v>
      </c>
      <c r="AB692" s="8"/>
    </row>
    <row r="693" spans="1:28" s="4" customFormat="1" ht="44.1" customHeight="1">
      <c r="A693" s="5">
        <v>0</v>
      </c>
      <c r="B693" s="6" t="s">
        <v>4266</v>
      </c>
      <c r="C693" s="7">
        <v>2977.2</v>
      </c>
      <c r="D693" s="8" t="s">
        <v>4267</v>
      </c>
      <c r="E693" s="8" t="s">
        <v>4268</v>
      </c>
      <c r="F693" s="8" t="s">
        <v>4269</v>
      </c>
      <c r="G693" s="6" t="s">
        <v>132</v>
      </c>
      <c r="H693" s="6" t="s">
        <v>99</v>
      </c>
      <c r="I693" s="8"/>
      <c r="J693" s="9">
        <v>1</v>
      </c>
      <c r="K693" s="9">
        <v>672</v>
      </c>
      <c r="L693" s="9">
        <v>2026</v>
      </c>
      <c r="M693" s="8" t="s">
        <v>4270</v>
      </c>
      <c r="N693" s="8" t="s">
        <v>42</v>
      </c>
      <c r="O693" s="8" t="s">
        <v>101</v>
      </c>
      <c r="P693" s="6" t="s">
        <v>44</v>
      </c>
      <c r="Q693" s="8" t="s">
        <v>45</v>
      </c>
      <c r="R693" s="10" t="s">
        <v>4271</v>
      </c>
      <c r="S693" s="11"/>
      <c r="T693" s="6"/>
      <c r="U693" s="24" t="str">
        <f>HYPERLINK("https://media.infra-m.ru/2224/2224595/cover/2224595.jpg", "Обложка")</f>
        <v>Обложка</v>
      </c>
      <c r="V693" s="12"/>
      <c r="W693" s="8" t="s">
        <v>361</v>
      </c>
      <c r="X693" s="6"/>
      <c r="Y693" s="6"/>
      <c r="Z693" s="6"/>
      <c r="AA693" s="6" t="s">
        <v>76</v>
      </c>
      <c r="AB693" s="8"/>
    </row>
    <row r="694" spans="1:28" s="4" customFormat="1" ht="44.1" customHeight="1">
      <c r="A694" s="5">
        <v>0</v>
      </c>
      <c r="B694" s="6" t="s">
        <v>4272</v>
      </c>
      <c r="C694" s="7">
        <v>2376</v>
      </c>
      <c r="D694" s="8" t="s">
        <v>4273</v>
      </c>
      <c r="E694" s="8" t="s">
        <v>4274</v>
      </c>
      <c r="F694" s="8" t="s">
        <v>4275</v>
      </c>
      <c r="G694" s="6" t="s">
        <v>81</v>
      </c>
      <c r="H694" s="6" t="s">
        <v>99</v>
      </c>
      <c r="I694" s="8"/>
      <c r="J694" s="9">
        <v>1</v>
      </c>
      <c r="K694" s="9">
        <v>448</v>
      </c>
      <c r="L694" s="9">
        <v>2026</v>
      </c>
      <c r="M694" s="8" t="s">
        <v>4276</v>
      </c>
      <c r="N694" s="8" t="s">
        <v>42</v>
      </c>
      <c r="O694" s="8" t="s">
        <v>101</v>
      </c>
      <c r="P694" s="6" t="s">
        <v>44</v>
      </c>
      <c r="Q694" s="8" t="s">
        <v>45</v>
      </c>
      <c r="R694" s="10" t="s">
        <v>4277</v>
      </c>
      <c r="S694" s="11"/>
      <c r="T694" s="6"/>
      <c r="U694" s="24" t="str">
        <f>HYPERLINK("https://media.infra-m.ru/2228/2228843/cover/2228843.jpg", "Обложка")</f>
        <v>Обложка</v>
      </c>
      <c r="V694" s="12"/>
      <c r="W694" s="8" t="s">
        <v>1627</v>
      </c>
      <c r="X694" s="6"/>
      <c r="Y694" s="6"/>
      <c r="Z694" s="6"/>
      <c r="AA694" s="6" t="s">
        <v>119</v>
      </c>
      <c r="AB694" s="8"/>
    </row>
    <row r="695" spans="1:28" s="4" customFormat="1" ht="42" customHeight="1">
      <c r="A695" s="5">
        <v>0</v>
      </c>
      <c r="B695" s="6" t="s">
        <v>4278</v>
      </c>
      <c r="C695" s="7">
        <v>2857.2</v>
      </c>
      <c r="D695" s="8" t="s">
        <v>4279</v>
      </c>
      <c r="E695" s="8" t="s">
        <v>4280</v>
      </c>
      <c r="F695" s="8" t="s">
        <v>4264</v>
      </c>
      <c r="G695" s="6" t="s">
        <v>132</v>
      </c>
      <c r="H695" s="6" t="s">
        <v>99</v>
      </c>
      <c r="I695" s="8"/>
      <c r="J695" s="9">
        <v>1</v>
      </c>
      <c r="K695" s="9">
        <v>664</v>
      </c>
      <c r="L695" s="9">
        <v>2024</v>
      </c>
      <c r="M695" s="8" t="s">
        <v>4281</v>
      </c>
      <c r="N695" s="8" t="s">
        <v>42</v>
      </c>
      <c r="O695" s="8" t="s">
        <v>101</v>
      </c>
      <c r="P695" s="6" t="s">
        <v>44</v>
      </c>
      <c r="Q695" s="8" t="s">
        <v>45</v>
      </c>
      <c r="R695" s="10" t="s">
        <v>2490</v>
      </c>
      <c r="S695" s="11"/>
      <c r="T695" s="6"/>
      <c r="U695" s="24" t="str">
        <f>HYPERLINK("https://media.infra-m.ru/2123/2123352/cover/2123352.jpg", "Обложка")</f>
        <v>Обложка</v>
      </c>
      <c r="V695" s="12"/>
      <c r="W695" s="8" t="s">
        <v>1627</v>
      </c>
      <c r="X695" s="6"/>
      <c r="Y695" s="6"/>
      <c r="Z695" s="6"/>
      <c r="AA695" s="6" t="s">
        <v>168</v>
      </c>
      <c r="AB695" s="8"/>
    </row>
    <row r="696" spans="1:28" s="4" customFormat="1" ht="42" customHeight="1">
      <c r="A696" s="5">
        <v>0</v>
      </c>
      <c r="B696" s="6" t="s">
        <v>4282</v>
      </c>
      <c r="C696" s="7">
        <v>3000</v>
      </c>
      <c r="D696" s="8" t="s">
        <v>4283</v>
      </c>
      <c r="E696" s="8" t="s">
        <v>4284</v>
      </c>
      <c r="F696" s="8" t="s">
        <v>1891</v>
      </c>
      <c r="G696" s="6" t="s">
        <v>81</v>
      </c>
      <c r="H696" s="6" t="s">
        <v>99</v>
      </c>
      <c r="I696" s="8"/>
      <c r="J696" s="9">
        <v>1</v>
      </c>
      <c r="K696" s="9">
        <v>672</v>
      </c>
      <c r="L696" s="9">
        <v>2024</v>
      </c>
      <c r="M696" s="8" t="s">
        <v>4285</v>
      </c>
      <c r="N696" s="8" t="s">
        <v>42</v>
      </c>
      <c r="O696" s="8" t="s">
        <v>101</v>
      </c>
      <c r="P696" s="6" t="s">
        <v>44</v>
      </c>
      <c r="Q696" s="8" t="s">
        <v>45</v>
      </c>
      <c r="R696" s="10" t="s">
        <v>874</v>
      </c>
      <c r="S696" s="11"/>
      <c r="T696" s="6"/>
      <c r="U696" s="24" t="str">
        <f>HYPERLINK("https://media.infra-m.ru/2150/2150941/cover/2150941.jpg", "Обложка")</f>
        <v>Обложка</v>
      </c>
      <c r="V696" s="12"/>
      <c r="W696" s="8"/>
      <c r="X696" s="6"/>
      <c r="Y696" s="6"/>
      <c r="Z696" s="6"/>
      <c r="AA696" s="6" t="s">
        <v>76</v>
      </c>
      <c r="AB696" s="8"/>
    </row>
    <row r="697" spans="1:28" s="4" customFormat="1" ht="51.95" customHeight="1">
      <c r="A697" s="5">
        <v>0</v>
      </c>
      <c r="B697" s="6" t="s">
        <v>4286</v>
      </c>
      <c r="C697" s="7">
        <v>2809.2</v>
      </c>
      <c r="D697" s="8" t="s">
        <v>4287</v>
      </c>
      <c r="E697" s="8" t="s">
        <v>4288</v>
      </c>
      <c r="F697" s="8" t="s">
        <v>4289</v>
      </c>
      <c r="G697" s="6" t="s">
        <v>132</v>
      </c>
      <c r="H697" s="6" t="s">
        <v>99</v>
      </c>
      <c r="I697" s="8"/>
      <c r="J697" s="9">
        <v>1</v>
      </c>
      <c r="K697" s="9">
        <v>688</v>
      </c>
      <c r="L697" s="9">
        <v>2025</v>
      </c>
      <c r="M697" s="8" t="s">
        <v>4290</v>
      </c>
      <c r="N697" s="8" t="s">
        <v>42</v>
      </c>
      <c r="O697" s="8" t="s">
        <v>101</v>
      </c>
      <c r="P697" s="6" t="s">
        <v>44</v>
      </c>
      <c r="Q697" s="8" t="s">
        <v>45</v>
      </c>
      <c r="R697" s="10" t="s">
        <v>4291</v>
      </c>
      <c r="S697" s="11"/>
      <c r="T697" s="6"/>
      <c r="U697" s="24" t="str">
        <f>HYPERLINK("https://media.infra-m.ru/2204/2204351/cover/2204351.jpg", "Обложка")</f>
        <v>Обложка</v>
      </c>
      <c r="V697" s="12"/>
      <c r="W697" s="8" t="s">
        <v>1627</v>
      </c>
      <c r="X697" s="6"/>
      <c r="Y697" s="6"/>
      <c r="Z697" s="6"/>
      <c r="AA697" s="6" t="s">
        <v>199</v>
      </c>
      <c r="AB697" s="8"/>
    </row>
    <row r="698" spans="1:28" s="4" customFormat="1" ht="42" customHeight="1">
      <c r="A698" s="5">
        <v>0</v>
      </c>
      <c r="B698" s="6" t="s">
        <v>4292</v>
      </c>
      <c r="C698" s="7">
        <v>3720</v>
      </c>
      <c r="D698" s="8" t="s">
        <v>4293</v>
      </c>
      <c r="E698" s="8" t="s">
        <v>4294</v>
      </c>
      <c r="F698" s="8" t="s">
        <v>4295</v>
      </c>
      <c r="G698" s="6" t="s">
        <v>132</v>
      </c>
      <c r="H698" s="6" t="s">
        <v>99</v>
      </c>
      <c r="I698" s="8"/>
      <c r="J698" s="9">
        <v>1</v>
      </c>
      <c r="K698" s="9">
        <v>632</v>
      </c>
      <c r="L698" s="9">
        <v>2025</v>
      </c>
      <c r="M698" s="8" t="s">
        <v>4296</v>
      </c>
      <c r="N698" s="8" t="s">
        <v>42</v>
      </c>
      <c r="O698" s="8" t="s">
        <v>101</v>
      </c>
      <c r="P698" s="6" t="s">
        <v>44</v>
      </c>
      <c r="Q698" s="8" t="s">
        <v>45</v>
      </c>
      <c r="R698" s="10" t="s">
        <v>632</v>
      </c>
      <c r="S698" s="11"/>
      <c r="T698" s="6"/>
      <c r="U698" s="24" t="str">
        <f>HYPERLINK("https://media.infra-m.ru/2198/2198715/cover/2198715.jpg", "Обложка")</f>
        <v>Обложка</v>
      </c>
      <c r="V698" s="12"/>
      <c r="W698" s="8"/>
      <c r="X698" s="6"/>
      <c r="Y698" s="6"/>
      <c r="Z698" s="6"/>
      <c r="AA698" s="6" t="s">
        <v>111</v>
      </c>
      <c r="AB698" s="8"/>
    </row>
    <row r="699" spans="1:28" s="4" customFormat="1" ht="44.1" customHeight="1">
      <c r="A699" s="5">
        <v>0</v>
      </c>
      <c r="B699" s="6" t="s">
        <v>4297</v>
      </c>
      <c r="C699" s="7">
        <v>2989.2</v>
      </c>
      <c r="D699" s="8" t="s">
        <v>4298</v>
      </c>
      <c r="E699" s="8" t="s">
        <v>4299</v>
      </c>
      <c r="F699" s="8" t="s">
        <v>4300</v>
      </c>
      <c r="G699" s="6" t="s">
        <v>132</v>
      </c>
      <c r="H699" s="6" t="s">
        <v>99</v>
      </c>
      <c r="I699" s="8"/>
      <c r="J699" s="9">
        <v>1</v>
      </c>
      <c r="K699" s="9">
        <v>696</v>
      </c>
      <c r="L699" s="9">
        <v>2026</v>
      </c>
      <c r="M699" s="8" t="s">
        <v>4301</v>
      </c>
      <c r="N699" s="8" t="s">
        <v>42</v>
      </c>
      <c r="O699" s="8" t="s">
        <v>101</v>
      </c>
      <c r="P699" s="6" t="s">
        <v>44</v>
      </c>
      <c r="Q699" s="8"/>
      <c r="R699" s="10" t="s">
        <v>4302</v>
      </c>
      <c r="S699" s="11"/>
      <c r="T699" s="6"/>
      <c r="U699" s="24" t="str">
        <f>HYPERLINK("https://media.infra-m.ru/2228/2228844/cover/2228844.jpg", "Обложка")</f>
        <v>Обложка</v>
      </c>
      <c r="V699" s="12"/>
      <c r="W699" s="8"/>
      <c r="X699" s="6"/>
      <c r="Y699" s="6"/>
      <c r="Z699" s="6"/>
      <c r="AA699" s="6" t="s">
        <v>168</v>
      </c>
      <c r="AB699" s="8"/>
    </row>
    <row r="700" spans="1:28" s="4" customFormat="1" ht="33" customHeight="1">
      <c r="A700" s="5">
        <v>0</v>
      </c>
      <c r="B700" s="6" t="s">
        <v>4303</v>
      </c>
      <c r="C700" s="13">
        <v>871.2</v>
      </c>
      <c r="D700" s="8" t="s">
        <v>4304</v>
      </c>
      <c r="E700" s="8" t="s">
        <v>4305</v>
      </c>
      <c r="F700" s="8" t="s">
        <v>4306</v>
      </c>
      <c r="G700" s="6" t="s">
        <v>4307</v>
      </c>
      <c r="H700" s="6" t="s">
        <v>4308</v>
      </c>
      <c r="I700" s="8" t="s">
        <v>4309</v>
      </c>
      <c r="J700" s="9">
        <v>6</v>
      </c>
      <c r="K700" s="9">
        <v>832</v>
      </c>
      <c r="L700" s="9">
        <v>2015</v>
      </c>
      <c r="M700" s="8" t="s">
        <v>4310</v>
      </c>
      <c r="N700" s="8" t="s">
        <v>42</v>
      </c>
      <c r="O700" s="8" t="s">
        <v>43</v>
      </c>
      <c r="P700" s="6" t="s">
        <v>2307</v>
      </c>
      <c r="Q700" s="8" t="s">
        <v>45</v>
      </c>
      <c r="R700" s="10"/>
      <c r="S700" s="11"/>
      <c r="T700" s="6"/>
      <c r="U700" s="12"/>
      <c r="V700" s="12"/>
      <c r="W700" s="8" t="s">
        <v>191</v>
      </c>
      <c r="X700" s="6"/>
      <c r="Y700" s="6"/>
      <c r="Z700" s="6"/>
      <c r="AA700" s="6" t="s">
        <v>377</v>
      </c>
      <c r="AB700" s="8"/>
    </row>
    <row r="701" spans="1:28" s="4" customFormat="1" ht="42" customHeight="1">
      <c r="A701" s="5">
        <v>0</v>
      </c>
      <c r="B701" s="6" t="s">
        <v>4311</v>
      </c>
      <c r="C701" s="7">
        <v>2376</v>
      </c>
      <c r="D701" s="8" t="s">
        <v>4312</v>
      </c>
      <c r="E701" s="8" t="s">
        <v>4313</v>
      </c>
      <c r="F701" s="8" t="s">
        <v>4314</v>
      </c>
      <c r="G701" s="6" t="s">
        <v>81</v>
      </c>
      <c r="H701" s="6" t="s">
        <v>39</v>
      </c>
      <c r="I701" s="8" t="s">
        <v>40</v>
      </c>
      <c r="J701" s="9">
        <v>1</v>
      </c>
      <c r="K701" s="9">
        <v>380</v>
      </c>
      <c r="L701" s="9">
        <v>2026</v>
      </c>
      <c r="M701" s="8" t="s">
        <v>4315</v>
      </c>
      <c r="N701" s="8" t="s">
        <v>42</v>
      </c>
      <c r="O701" s="8" t="s">
        <v>101</v>
      </c>
      <c r="P701" s="6" t="s">
        <v>44</v>
      </c>
      <c r="Q701" s="8" t="s">
        <v>45</v>
      </c>
      <c r="R701" s="10" t="s">
        <v>4316</v>
      </c>
      <c r="S701" s="11"/>
      <c r="T701" s="6"/>
      <c r="U701" s="24" t="str">
        <f>HYPERLINK("https://media.infra-m.ru/2216/2216832/cover/2216832.jpg", "Обложка")</f>
        <v>Обложка</v>
      </c>
      <c r="V701" s="24" t="str">
        <f>HYPERLINK("https://znanium.ru/catalog/product/2216832", "Ознакомиться")</f>
        <v>Ознакомиться</v>
      </c>
      <c r="W701" s="8" t="s">
        <v>1457</v>
      </c>
      <c r="X701" s="6"/>
      <c r="Y701" s="6"/>
      <c r="Z701" s="6"/>
      <c r="AA701" s="6" t="s">
        <v>119</v>
      </c>
      <c r="AB701" s="8" t="s">
        <v>1342</v>
      </c>
    </row>
    <row r="702" spans="1:28" s="4" customFormat="1" ht="51.95" customHeight="1">
      <c r="A702" s="5">
        <v>0</v>
      </c>
      <c r="B702" s="6" t="s">
        <v>4317</v>
      </c>
      <c r="C702" s="7">
        <v>2460</v>
      </c>
      <c r="D702" s="8" t="s">
        <v>4318</v>
      </c>
      <c r="E702" s="8" t="s">
        <v>4319</v>
      </c>
      <c r="F702" s="8" t="s">
        <v>4320</v>
      </c>
      <c r="G702" s="6" t="s">
        <v>81</v>
      </c>
      <c r="H702" s="6" t="s">
        <v>39</v>
      </c>
      <c r="I702" s="8" t="s">
        <v>40</v>
      </c>
      <c r="J702" s="9">
        <v>1</v>
      </c>
      <c r="K702" s="9">
        <v>452</v>
      </c>
      <c r="L702" s="9">
        <v>2023</v>
      </c>
      <c r="M702" s="8" t="s">
        <v>4321</v>
      </c>
      <c r="N702" s="8" t="s">
        <v>42</v>
      </c>
      <c r="O702" s="8" t="s">
        <v>101</v>
      </c>
      <c r="P702" s="6" t="s">
        <v>44</v>
      </c>
      <c r="Q702" s="8" t="s">
        <v>45</v>
      </c>
      <c r="R702" s="10" t="s">
        <v>4322</v>
      </c>
      <c r="S702" s="11"/>
      <c r="T702" s="6"/>
      <c r="U702" s="24" t="str">
        <f>HYPERLINK("https://media.infra-m.ru/1904/1904566/cover/1904566.jpg", "Обложка")</f>
        <v>Обложка</v>
      </c>
      <c r="V702" s="24" t="str">
        <f>HYPERLINK("https://znanium.ru/catalog/product/1904566", "Ознакомиться")</f>
        <v>Ознакомиться</v>
      </c>
      <c r="W702" s="8" t="s">
        <v>4323</v>
      </c>
      <c r="X702" s="6"/>
      <c r="Y702" s="6"/>
      <c r="Z702" s="6"/>
      <c r="AA702" s="6" t="s">
        <v>111</v>
      </c>
      <c r="AB702" s="8"/>
    </row>
    <row r="703" spans="1:28" s="4" customFormat="1" ht="42" customHeight="1">
      <c r="A703" s="5">
        <v>0</v>
      </c>
      <c r="B703" s="6" t="s">
        <v>4324</v>
      </c>
      <c r="C703" s="7">
        <v>1596</v>
      </c>
      <c r="D703" s="8" t="s">
        <v>4325</v>
      </c>
      <c r="E703" s="8" t="s">
        <v>4326</v>
      </c>
      <c r="F703" s="8" t="s">
        <v>1598</v>
      </c>
      <c r="G703" s="6" t="s">
        <v>81</v>
      </c>
      <c r="H703" s="6" t="s">
        <v>39</v>
      </c>
      <c r="I703" s="8" t="s">
        <v>40</v>
      </c>
      <c r="J703" s="9">
        <v>1</v>
      </c>
      <c r="K703" s="9">
        <v>341</v>
      </c>
      <c r="L703" s="9">
        <v>2022</v>
      </c>
      <c r="M703" s="8" t="s">
        <v>4327</v>
      </c>
      <c r="N703" s="8" t="s">
        <v>42</v>
      </c>
      <c r="O703" s="8" t="s">
        <v>65</v>
      </c>
      <c r="P703" s="6" t="s">
        <v>44</v>
      </c>
      <c r="Q703" s="8" t="s">
        <v>45</v>
      </c>
      <c r="R703" s="10" t="s">
        <v>711</v>
      </c>
      <c r="S703" s="11"/>
      <c r="T703" s="6"/>
      <c r="U703" s="24" t="str">
        <f>HYPERLINK("https://media.infra-m.ru/1832/1832157/cover/1832157.jpg", "Обложка")</f>
        <v>Обложка</v>
      </c>
      <c r="V703" s="24" t="str">
        <f>HYPERLINK("https://znanium.ru/catalog/product/1832157", "Ознакомиться")</f>
        <v>Ознакомиться</v>
      </c>
      <c r="W703" s="8" t="s">
        <v>1601</v>
      </c>
      <c r="X703" s="6"/>
      <c r="Y703" s="6"/>
      <c r="Z703" s="6"/>
      <c r="AA703" s="6" t="s">
        <v>168</v>
      </c>
      <c r="AB703" s="8"/>
    </row>
    <row r="704" spans="1:28" s="4" customFormat="1" ht="51.95" customHeight="1">
      <c r="A704" s="5">
        <v>0</v>
      </c>
      <c r="B704" s="6" t="s">
        <v>4328</v>
      </c>
      <c r="C704" s="7">
        <v>2272.8000000000002</v>
      </c>
      <c r="D704" s="8" t="s">
        <v>4329</v>
      </c>
      <c r="E704" s="8" t="s">
        <v>4330</v>
      </c>
      <c r="F704" s="8" t="s">
        <v>4331</v>
      </c>
      <c r="G704" s="6" t="s">
        <v>81</v>
      </c>
      <c r="H704" s="6" t="s">
        <v>39</v>
      </c>
      <c r="I704" s="8" t="s">
        <v>336</v>
      </c>
      <c r="J704" s="9">
        <v>1</v>
      </c>
      <c r="K704" s="9">
        <v>344</v>
      </c>
      <c r="L704" s="9">
        <v>2026</v>
      </c>
      <c r="M704" s="8" t="s">
        <v>4332</v>
      </c>
      <c r="N704" s="8" t="s">
        <v>42</v>
      </c>
      <c r="O704" s="8" t="s">
        <v>101</v>
      </c>
      <c r="P704" s="6" t="s">
        <v>44</v>
      </c>
      <c r="Q704" s="8" t="s">
        <v>45</v>
      </c>
      <c r="R704" s="10" t="s">
        <v>4333</v>
      </c>
      <c r="S704" s="11"/>
      <c r="T704" s="6"/>
      <c r="U704" s="24" t="str">
        <f>HYPERLINK("https://media.infra-m.ru/2231/2231195/cover/2231195.jpg", "Обложка")</f>
        <v>Обложка</v>
      </c>
      <c r="V704" s="24" t="str">
        <f>HYPERLINK("https://znanium.ru/catalog/product/2230985", "Ознакомиться")</f>
        <v>Ознакомиться</v>
      </c>
      <c r="W704" s="8" t="s">
        <v>418</v>
      </c>
      <c r="X704" s="6"/>
      <c r="Y704" s="6"/>
      <c r="Z704" s="6"/>
      <c r="AA704" s="6" t="s">
        <v>119</v>
      </c>
      <c r="AB704" s="8"/>
    </row>
    <row r="705" spans="1:28" s="4" customFormat="1" ht="51.95" customHeight="1">
      <c r="A705" s="5">
        <v>0</v>
      </c>
      <c r="B705" s="6" t="s">
        <v>4334</v>
      </c>
      <c r="C705" s="7">
        <v>1836</v>
      </c>
      <c r="D705" s="8" t="s">
        <v>4335</v>
      </c>
      <c r="E705" s="8" t="s">
        <v>4336</v>
      </c>
      <c r="F705" s="8" t="s">
        <v>4337</v>
      </c>
      <c r="G705" s="6" t="s">
        <v>81</v>
      </c>
      <c r="H705" s="6" t="s">
        <v>39</v>
      </c>
      <c r="I705" s="8" t="s">
        <v>752</v>
      </c>
      <c r="J705" s="9">
        <v>1</v>
      </c>
      <c r="K705" s="9">
        <v>279</v>
      </c>
      <c r="L705" s="9">
        <v>2026</v>
      </c>
      <c r="M705" s="8" t="s">
        <v>4338</v>
      </c>
      <c r="N705" s="8" t="s">
        <v>42</v>
      </c>
      <c r="O705" s="8" t="s">
        <v>189</v>
      </c>
      <c r="P705" s="6" t="s">
        <v>44</v>
      </c>
      <c r="Q705" s="8" t="s">
        <v>45</v>
      </c>
      <c r="R705" s="10" t="s">
        <v>4339</v>
      </c>
      <c r="S705" s="11"/>
      <c r="T705" s="6"/>
      <c r="U705" s="24" t="str">
        <f>HYPERLINK("https://media.infra-m.ru/2224/2224458/cover/2224458.jpg", "Обложка")</f>
        <v>Обложка</v>
      </c>
      <c r="V705" s="24" t="str">
        <f>HYPERLINK("https://znanium.ru/catalog/product/2224458", "Ознакомиться")</f>
        <v>Ознакомиться</v>
      </c>
      <c r="W705" s="8" t="s">
        <v>361</v>
      </c>
      <c r="X705" s="6"/>
      <c r="Y705" s="6"/>
      <c r="Z705" s="6"/>
      <c r="AA705" s="6" t="s">
        <v>119</v>
      </c>
      <c r="AB705" s="8" t="s">
        <v>255</v>
      </c>
    </row>
    <row r="706" spans="1:28" s="4" customFormat="1" ht="42" customHeight="1">
      <c r="A706" s="5">
        <v>0</v>
      </c>
      <c r="B706" s="6" t="s">
        <v>4340</v>
      </c>
      <c r="C706" s="7">
        <v>1848</v>
      </c>
      <c r="D706" s="8" t="s">
        <v>4341</v>
      </c>
      <c r="E706" s="8" t="s">
        <v>4342</v>
      </c>
      <c r="F706" s="8" t="s">
        <v>4343</v>
      </c>
      <c r="G706" s="6" t="s">
        <v>81</v>
      </c>
      <c r="H706" s="6" t="s">
        <v>39</v>
      </c>
      <c r="I706" s="8" t="s">
        <v>40</v>
      </c>
      <c r="J706" s="9">
        <v>1</v>
      </c>
      <c r="K706" s="9">
        <v>297</v>
      </c>
      <c r="L706" s="9">
        <v>2025</v>
      </c>
      <c r="M706" s="8" t="s">
        <v>4344</v>
      </c>
      <c r="N706" s="8" t="s">
        <v>42</v>
      </c>
      <c r="O706" s="8" t="s">
        <v>43</v>
      </c>
      <c r="P706" s="6" t="s">
        <v>44</v>
      </c>
      <c r="Q706" s="8" t="s">
        <v>45</v>
      </c>
      <c r="R706" s="10" t="s">
        <v>4345</v>
      </c>
      <c r="S706" s="11"/>
      <c r="T706" s="6"/>
      <c r="U706" s="24" t="str">
        <f>HYPERLINK("https://media.infra-m.ru/2212/2212222/cover/2212222.jpg", "Обложка")</f>
        <v>Обложка</v>
      </c>
      <c r="V706" s="24" t="str">
        <f>HYPERLINK("https://znanium.ru/catalog/product/2212222", "Ознакомиться")</f>
        <v>Ознакомиться</v>
      </c>
      <c r="W706" s="8" t="s">
        <v>289</v>
      </c>
      <c r="X706" s="6"/>
      <c r="Y706" s="6"/>
      <c r="Z706" s="6"/>
      <c r="AA706" s="6" t="s">
        <v>111</v>
      </c>
      <c r="AB706" s="8"/>
    </row>
    <row r="707" spans="1:28" s="4" customFormat="1" ht="51.95" customHeight="1">
      <c r="A707" s="5">
        <v>0</v>
      </c>
      <c r="B707" s="6" t="s">
        <v>4346</v>
      </c>
      <c r="C707" s="7">
        <v>1044</v>
      </c>
      <c r="D707" s="8" t="s">
        <v>4347</v>
      </c>
      <c r="E707" s="8" t="s">
        <v>4348</v>
      </c>
      <c r="F707" s="8" t="s">
        <v>4343</v>
      </c>
      <c r="G707" s="6" t="s">
        <v>38</v>
      </c>
      <c r="H707" s="6" t="s">
        <v>39</v>
      </c>
      <c r="I707" s="8" t="s">
        <v>40</v>
      </c>
      <c r="J707" s="9">
        <v>1</v>
      </c>
      <c r="K707" s="9">
        <v>175</v>
      </c>
      <c r="L707" s="9">
        <v>2024</v>
      </c>
      <c r="M707" s="8" t="s">
        <v>4349</v>
      </c>
      <c r="N707" s="8" t="s">
        <v>42</v>
      </c>
      <c r="O707" s="8" t="s">
        <v>65</v>
      </c>
      <c r="P707" s="6" t="s">
        <v>44</v>
      </c>
      <c r="Q707" s="8" t="s">
        <v>45</v>
      </c>
      <c r="R707" s="10" t="s">
        <v>4350</v>
      </c>
      <c r="S707" s="11"/>
      <c r="T707" s="6"/>
      <c r="U707" s="24" t="str">
        <f>HYPERLINK("https://media.infra-m.ru/2136/2136014/cover/2136014.jpg", "Обложка")</f>
        <v>Обложка</v>
      </c>
      <c r="V707" s="24" t="str">
        <f>HYPERLINK("https://znanium.ru/catalog/product/2136014", "Ознакомиться")</f>
        <v>Ознакомиться</v>
      </c>
      <c r="W707" s="8" t="s">
        <v>289</v>
      </c>
      <c r="X707" s="6"/>
      <c r="Y707" s="6"/>
      <c r="Z707" s="6"/>
      <c r="AA707" s="6" t="s">
        <v>199</v>
      </c>
      <c r="AB707" s="8"/>
    </row>
    <row r="708" spans="1:28" s="4" customFormat="1" ht="42" customHeight="1">
      <c r="A708" s="5">
        <v>0</v>
      </c>
      <c r="B708" s="6" t="s">
        <v>4351</v>
      </c>
      <c r="C708" s="7">
        <v>1044</v>
      </c>
      <c r="D708" s="8" t="s">
        <v>4352</v>
      </c>
      <c r="E708" s="8" t="s">
        <v>4353</v>
      </c>
      <c r="F708" s="8" t="s">
        <v>4354</v>
      </c>
      <c r="G708" s="6" t="s">
        <v>38</v>
      </c>
      <c r="H708" s="6" t="s">
        <v>39</v>
      </c>
      <c r="I708" s="8" t="s">
        <v>40</v>
      </c>
      <c r="J708" s="9">
        <v>1</v>
      </c>
      <c r="K708" s="9">
        <v>167</v>
      </c>
      <c r="L708" s="9">
        <v>2026</v>
      </c>
      <c r="M708" s="8" t="s">
        <v>4355</v>
      </c>
      <c r="N708" s="8" t="s">
        <v>42</v>
      </c>
      <c r="O708" s="8" t="s">
        <v>246</v>
      </c>
      <c r="P708" s="6" t="s">
        <v>44</v>
      </c>
      <c r="Q708" s="8" t="s">
        <v>45</v>
      </c>
      <c r="R708" s="10" t="s">
        <v>4356</v>
      </c>
      <c r="S708" s="11"/>
      <c r="T708" s="6"/>
      <c r="U708" s="24" t="str">
        <f>HYPERLINK("https://media.infra-m.ru/2216/2216003/cover/2216003.jpg", "Обложка")</f>
        <v>Обложка</v>
      </c>
      <c r="V708" s="24" t="str">
        <f>HYPERLINK("https://znanium.ru/catalog/product/2216003", "Ознакомиться")</f>
        <v>Ознакомиться</v>
      </c>
      <c r="W708" s="8" t="s">
        <v>3948</v>
      </c>
      <c r="X708" s="6"/>
      <c r="Y708" s="6"/>
      <c r="Z708" s="6"/>
      <c r="AA708" s="6" t="s">
        <v>339</v>
      </c>
      <c r="AB708" s="8"/>
    </row>
    <row r="709" spans="1:28" s="4" customFormat="1" ht="42" customHeight="1">
      <c r="A709" s="5">
        <v>0</v>
      </c>
      <c r="B709" s="6" t="s">
        <v>4357</v>
      </c>
      <c r="C709" s="7">
        <v>1908</v>
      </c>
      <c r="D709" s="8" t="s">
        <v>4358</v>
      </c>
      <c r="E709" s="8" t="s">
        <v>4359</v>
      </c>
      <c r="F709" s="8" t="s">
        <v>4360</v>
      </c>
      <c r="G709" s="6" t="s">
        <v>132</v>
      </c>
      <c r="H709" s="6" t="s">
        <v>39</v>
      </c>
      <c r="I709" s="8"/>
      <c r="J709" s="9">
        <v>1</v>
      </c>
      <c r="K709" s="9">
        <v>269</v>
      </c>
      <c r="L709" s="9">
        <v>2022</v>
      </c>
      <c r="M709" s="8" t="s">
        <v>4361</v>
      </c>
      <c r="N709" s="8" t="s">
        <v>42</v>
      </c>
      <c r="O709" s="8" t="s">
        <v>189</v>
      </c>
      <c r="P709" s="6" t="s">
        <v>44</v>
      </c>
      <c r="Q709" s="8" t="s">
        <v>45</v>
      </c>
      <c r="R709" s="10" t="s">
        <v>1322</v>
      </c>
      <c r="S709" s="11"/>
      <c r="T709" s="6"/>
      <c r="U709" s="24" t="str">
        <f>HYPERLINK("https://media.infra-m.ru/1903/1903322/cover/1903322.jpg", "Обложка")</f>
        <v>Обложка</v>
      </c>
      <c r="V709" s="12"/>
      <c r="W709" s="8"/>
      <c r="X709" s="6"/>
      <c r="Y709" s="6"/>
      <c r="Z709" s="6"/>
      <c r="AA709" s="6" t="s">
        <v>111</v>
      </c>
      <c r="AB709" s="8"/>
    </row>
    <row r="710" spans="1:28" s="4" customFormat="1" ht="42" customHeight="1">
      <c r="A710" s="5">
        <v>0</v>
      </c>
      <c r="B710" s="6" t="s">
        <v>4362</v>
      </c>
      <c r="C710" s="13">
        <v>834</v>
      </c>
      <c r="D710" s="8" t="s">
        <v>4363</v>
      </c>
      <c r="E710" s="8" t="s">
        <v>4364</v>
      </c>
      <c r="F710" s="8" t="s">
        <v>4365</v>
      </c>
      <c r="G710" s="6" t="s">
        <v>38</v>
      </c>
      <c r="H710" s="6" t="s">
        <v>99</v>
      </c>
      <c r="I710" s="8"/>
      <c r="J710" s="9">
        <v>1</v>
      </c>
      <c r="K710" s="9">
        <v>68</v>
      </c>
      <c r="L710" s="9">
        <v>2025</v>
      </c>
      <c r="M710" s="8" t="s">
        <v>4366</v>
      </c>
      <c r="N710" s="8" t="s">
        <v>42</v>
      </c>
      <c r="O710" s="8" t="s">
        <v>101</v>
      </c>
      <c r="P710" s="6" t="s">
        <v>44</v>
      </c>
      <c r="Q710" s="8" t="s">
        <v>287</v>
      </c>
      <c r="R710" s="10" t="s">
        <v>4367</v>
      </c>
      <c r="S710" s="11"/>
      <c r="T710" s="6"/>
      <c r="U710" s="24" t="str">
        <f>HYPERLINK("https://media.infra-m.ru/2198/2198725/cover/2198725.jpg", "Обложка")</f>
        <v>Обложка</v>
      </c>
      <c r="V710" s="24" t="str">
        <f>HYPERLINK("https://znanium.ru/catalog/product/2193756", "Ознакомиться")</f>
        <v>Ознакомиться</v>
      </c>
      <c r="W710" s="8" t="s">
        <v>509</v>
      </c>
      <c r="X710" s="6"/>
      <c r="Y710" s="6"/>
      <c r="Z710" s="6"/>
      <c r="AA710" s="6" t="s">
        <v>159</v>
      </c>
      <c r="AB710" s="8"/>
    </row>
    <row r="711" spans="1:28" s="4" customFormat="1" ht="44.1" customHeight="1">
      <c r="A711" s="5">
        <v>0</v>
      </c>
      <c r="B711" s="6" t="s">
        <v>4368</v>
      </c>
      <c r="C711" s="13">
        <v>652.79999999999995</v>
      </c>
      <c r="D711" s="8" t="s">
        <v>4369</v>
      </c>
      <c r="E711" s="8" t="s">
        <v>4370</v>
      </c>
      <c r="F711" s="8" t="s">
        <v>4371</v>
      </c>
      <c r="G711" s="6" t="s">
        <v>38</v>
      </c>
      <c r="H711" s="6" t="s">
        <v>99</v>
      </c>
      <c r="I711" s="8"/>
      <c r="J711" s="9">
        <v>1</v>
      </c>
      <c r="K711" s="9">
        <v>96</v>
      </c>
      <c r="L711" s="9">
        <v>2025</v>
      </c>
      <c r="M711" s="8" t="s">
        <v>4372</v>
      </c>
      <c r="N711" s="8" t="s">
        <v>42</v>
      </c>
      <c r="O711" s="8" t="s">
        <v>101</v>
      </c>
      <c r="P711" s="6" t="s">
        <v>44</v>
      </c>
      <c r="Q711" s="8" t="s">
        <v>45</v>
      </c>
      <c r="R711" s="10" t="s">
        <v>4373</v>
      </c>
      <c r="S711" s="11"/>
      <c r="T711" s="6"/>
      <c r="U711" s="24" t="str">
        <f>HYPERLINK("https://media.infra-m.ru/2208/2208444/cover/2208444.jpg", "Обложка")</f>
        <v>Обложка</v>
      </c>
      <c r="V711" s="24" t="str">
        <f>HYPERLINK("https://znanium.ru/catalog/product/1041868", "Ознакомиться")</f>
        <v>Ознакомиться</v>
      </c>
      <c r="W711" s="8" t="s">
        <v>565</v>
      </c>
      <c r="X711" s="6"/>
      <c r="Y711" s="6"/>
      <c r="Z711" s="6"/>
      <c r="AA711" s="6" t="s">
        <v>168</v>
      </c>
      <c r="AB711" s="8"/>
    </row>
    <row r="712" spans="1:28" s="4" customFormat="1" ht="42" customHeight="1">
      <c r="A712" s="5">
        <v>0</v>
      </c>
      <c r="B712" s="6" t="s">
        <v>4374</v>
      </c>
      <c r="C712" s="7">
        <v>1224</v>
      </c>
      <c r="D712" s="8" t="s">
        <v>4375</v>
      </c>
      <c r="E712" s="8" t="s">
        <v>4376</v>
      </c>
      <c r="F712" s="8" t="s">
        <v>2173</v>
      </c>
      <c r="G712" s="6" t="s">
        <v>38</v>
      </c>
      <c r="H712" s="6" t="s">
        <v>39</v>
      </c>
      <c r="I712" s="8" t="s">
        <v>40</v>
      </c>
      <c r="J712" s="9">
        <v>1</v>
      </c>
      <c r="K712" s="9">
        <v>175</v>
      </c>
      <c r="L712" s="9">
        <v>2023</v>
      </c>
      <c r="M712" s="8" t="s">
        <v>4377</v>
      </c>
      <c r="N712" s="8" t="s">
        <v>220</v>
      </c>
      <c r="O712" s="8" t="s">
        <v>252</v>
      </c>
      <c r="P712" s="6" t="s">
        <v>44</v>
      </c>
      <c r="Q712" s="8" t="s">
        <v>287</v>
      </c>
      <c r="R712" s="10" t="s">
        <v>4378</v>
      </c>
      <c r="S712" s="11"/>
      <c r="T712" s="6"/>
      <c r="U712" s="24" t="str">
        <f>HYPERLINK("https://media.infra-m.ru/1925/1925537/cover/1925537.jpg", "Обложка")</f>
        <v>Обложка</v>
      </c>
      <c r="V712" s="24" t="str">
        <f>HYPERLINK("https://znanium.ru/catalog/product/1925537", "Ознакомиться")</f>
        <v>Ознакомиться</v>
      </c>
      <c r="W712" s="8" t="s">
        <v>593</v>
      </c>
      <c r="X712" s="6"/>
      <c r="Y712" s="6"/>
      <c r="Z712" s="6"/>
      <c r="AA712" s="6" t="s">
        <v>369</v>
      </c>
      <c r="AB712" s="8"/>
    </row>
    <row r="713" spans="1:28" s="4" customFormat="1" ht="42" customHeight="1">
      <c r="A713" s="5">
        <v>0</v>
      </c>
      <c r="B713" s="6" t="s">
        <v>4379</v>
      </c>
      <c r="C713" s="7">
        <v>1240.8</v>
      </c>
      <c r="D713" s="8" t="s">
        <v>4380</v>
      </c>
      <c r="E713" s="8" t="s">
        <v>4381</v>
      </c>
      <c r="F713" s="8" t="s">
        <v>4382</v>
      </c>
      <c r="G713" s="6" t="s">
        <v>38</v>
      </c>
      <c r="H713" s="6" t="s">
        <v>39</v>
      </c>
      <c r="I713" s="8" t="s">
        <v>164</v>
      </c>
      <c r="J713" s="9">
        <v>1</v>
      </c>
      <c r="K713" s="9">
        <v>198</v>
      </c>
      <c r="L713" s="9">
        <v>2025</v>
      </c>
      <c r="M713" s="8" t="s">
        <v>4383</v>
      </c>
      <c r="N713" s="8" t="s">
        <v>42</v>
      </c>
      <c r="O713" s="8" t="s">
        <v>189</v>
      </c>
      <c r="P713" s="6" t="s">
        <v>44</v>
      </c>
      <c r="Q713" s="8" t="s">
        <v>45</v>
      </c>
      <c r="R713" s="10" t="s">
        <v>3954</v>
      </c>
      <c r="S713" s="11"/>
      <c r="T713" s="6"/>
      <c r="U713" s="24" t="str">
        <f>HYPERLINK("https://media.infra-m.ru/2197/2197812/cover/2197812.jpg", "Обложка")</f>
        <v>Обложка</v>
      </c>
      <c r="V713" s="24" t="str">
        <f>HYPERLINK("https://znanium.ru/catalog/product/1016909", "Ознакомиться")</f>
        <v>Ознакомиться</v>
      </c>
      <c r="W713" s="8" t="s">
        <v>167</v>
      </c>
      <c r="X713" s="6"/>
      <c r="Y713" s="6"/>
      <c r="Z713" s="6"/>
      <c r="AA713" s="6" t="s">
        <v>168</v>
      </c>
      <c r="AB713" s="8"/>
    </row>
    <row r="714" spans="1:28" s="4" customFormat="1" ht="51.95" customHeight="1">
      <c r="A714" s="5">
        <v>0</v>
      </c>
      <c r="B714" s="6" t="s">
        <v>4384</v>
      </c>
      <c r="C714" s="7">
        <v>1488</v>
      </c>
      <c r="D714" s="8" t="s">
        <v>4385</v>
      </c>
      <c r="E714" s="8" t="s">
        <v>4386</v>
      </c>
      <c r="F714" s="8" t="s">
        <v>975</v>
      </c>
      <c r="G714" s="6" t="s">
        <v>81</v>
      </c>
      <c r="H714" s="6" t="s">
        <v>99</v>
      </c>
      <c r="I714" s="8"/>
      <c r="J714" s="9">
        <v>1</v>
      </c>
      <c r="K714" s="9">
        <v>232</v>
      </c>
      <c r="L714" s="9">
        <v>2025</v>
      </c>
      <c r="M714" s="8" t="s">
        <v>4387</v>
      </c>
      <c r="N714" s="8" t="s">
        <v>42</v>
      </c>
      <c r="O714" s="8" t="s">
        <v>101</v>
      </c>
      <c r="P714" s="6" t="s">
        <v>44</v>
      </c>
      <c r="Q714" s="8" t="s">
        <v>45</v>
      </c>
      <c r="R714" s="10" t="s">
        <v>4388</v>
      </c>
      <c r="S714" s="11"/>
      <c r="T714" s="6"/>
      <c r="U714" s="24" t="str">
        <f>HYPERLINK("https://media.infra-m.ru/2155/2155026/cover/2155026.jpg", "Обложка")</f>
        <v>Обложка</v>
      </c>
      <c r="V714" s="24" t="str">
        <f>HYPERLINK("https://znanium.ru/catalog/product/2155026", "Ознакомиться")</f>
        <v>Ознакомиться</v>
      </c>
      <c r="W714" s="8" t="s">
        <v>305</v>
      </c>
      <c r="X714" s="6"/>
      <c r="Y714" s="6"/>
      <c r="Z714" s="6"/>
      <c r="AA714" s="6" t="s">
        <v>199</v>
      </c>
      <c r="AB714" s="8" t="s">
        <v>4389</v>
      </c>
    </row>
    <row r="715" spans="1:28" s="4" customFormat="1" ht="42" customHeight="1">
      <c r="A715" s="5">
        <v>0</v>
      </c>
      <c r="B715" s="6" t="s">
        <v>4390</v>
      </c>
      <c r="C715" s="7">
        <v>1980</v>
      </c>
      <c r="D715" s="8" t="s">
        <v>4391</v>
      </c>
      <c r="E715" s="8" t="s">
        <v>4392</v>
      </c>
      <c r="F715" s="8" t="s">
        <v>4393</v>
      </c>
      <c r="G715" s="6" t="s">
        <v>132</v>
      </c>
      <c r="H715" s="6" t="s">
        <v>182</v>
      </c>
      <c r="I715" s="8" t="s">
        <v>3259</v>
      </c>
      <c r="J715" s="9">
        <v>1</v>
      </c>
      <c r="K715" s="9">
        <v>481</v>
      </c>
      <c r="L715" s="9">
        <v>2020</v>
      </c>
      <c r="M715" s="8" t="s">
        <v>4394</v>
      </c>
      <c r="N715" s="8" t="s">
        <v>42</v>
      </c>
      <c r="O715" s="8" t="s">
        <v>101</v>
      </c>
      <c r="P715" s="6" t="s">
        <v>44</v>
      </c>
      <c r="Q715" s="8" t="s">
        <v>45</v>
      </c>
      <c r="R715" s="10" t="s">
        <v>564</v>
      </c>
      <c r="S715" s="11"/>
      <c r="T715" s="6"/>
      <c r="U715" s="24" t="str">
        <f>HYPERLINK("https://media.infra-m.ru/1073/1073563/cover/1073563.jpg", "Обложка")</f>
        <v>Обложка</v>
      </c>
      <c r="V715" s="24" t="str">
        <f>HYPERLINK("https://znanium.ru/catalog/product/2124789", "Ознакомиться")</f>
        <v>Ознакомиться</v>
      </c>
      <c r="W715" s="8" t="s">
        <v>686</v>
      </c>
      <c r="X715" s="6"/>
      <c r="Y715" s="6"/>
      <c r="Z715" s="6"/>
      <c r="AA715" s="6" t="s">
        <v>4395</v>
      </c>
      <c r="AB715" s="8"/>
    </row>
    <row r="716" spans="1:28" s="4" customFormat="1" ht="42" customHeight="1">
      <c r="A716" s="5">
        <v>0</v>
      </c>
      <c r="B716" s="6" t="s">
        <v>4396</v>
      </c>
      <c r="C716" s="7">
        <v>1764</v>
      </c>
      <c r="D716" s="8" t="s">
        <v>4397</v>
      </c>
      <c r="E716" s="8" t="s">
        <v>4398</v>
      </c>
      <c r="F716" s="8" t="s">
        <v>4393</v>
      </c>
      <c r="G716" s="6" t="s">
        <v>132</v>
      </c>
      <c r="H716" s="6" t="s">
        <v>182</v>
      </c>
      <c r="I716" s="8" t="s">
        <v>3259</v>
      </c>
      <c r="J716" s="9">
        <v>1</v>
      </c>
      <c r="K716" s="9">
        <v>431</v>
      </c>
      <c r="L716" s="9">
        <v>2019</v>
      </c>
      <c r="M716" s="8" t="s">
        <v>4399</v>
      </c>
      <c r="N716" s="8" t="s">
        <v>42</v>
      </c>
      <c r="O716" s="8" t="s">
        <v>101</v>
      </c>
      <c r="P716" s="6" t="s">
        <v>44</v>
      </c>
      <c r="Q716" s="8" t="s">
        <v>45</v>
      </c>
      <c r="R716" s="10" t="s">
        <v>564</v>
      </c>
      <c r="S716" s="11"/>
      <c r="T716" s="6"/>
      <c r="U716" s="24" t="str">
        <f>HYPERLINK("https://media.infra-m.ru/1026/1026015/cover/1026015.jpg", "Обложка")</f>
        <v>Обложка</v>
      </c>
      <c r="V716" s="24" t="str">
        <f>HYPERLINK("https://znanium.ru/catalog/product/2124789", "Ознакомиться")</f>
        <v>Ознакомиться</v>
      </c>
      <c r="W716" s="8" t="s">
        <v>686</v>
      </c>
      <c r="X716" s="6"/>
      <c r="Y716" s="6"/>
      <c r="Z716" s="6"/>
      <c r="AA716" s="6" t="s">
        <v>4400</v>
      </c>
      <c r="AB716" s="8"/>
    </row>
    <row r="717" spans="1:28" s="4" customFormat="1" ht="42" customHeight="1">
      <c r="A717" s="5">
        <v>0</v>
      </c>
      <c r="B717" s="6" t="s">
        <v>4401</v>
      </c>
      <c r="C717" s="7">
        <v>2580</v>
      </c>
      <c r="D717" s="8" t="s">
        <v>4402</v>
      </c>
      <c r="E717" s="8" t="s">
        <v>4403</v>
      </c>
      <c r="F717" s="8" t="s">
        <v>4393</v>
      </c>
      <c r="G717" s="6" t="s">
        <v>81</v>
      </c>
      <c r="H717" s="6" t="s">
        <v>182</v>
      </c>
      <c r="I717" s="8" t="s">
        <v>3259</v>
      </c>
      <c r="J717" s="9">
        <v>1</v>
      </c>
      <c r="K717" s="9">
        <v>481</v>
      </c>
      <c r="L717" s="9">
        <v>2023</v>
      </c>
      <c r="M717" s="8" t="s">
        <v>4404</v>
      </c>
      <c r="N717" s="8" t="s">
        <v>42</v>
      </c>
      <c r="O717" s="8" t="s">
        <v>101</v>
      </c>
      <c r="P717" s="6" t="s">
        <v>44</v>
      </c>
      <c r="Q717" s="8" t="s">
        <v>45</v>
      </c>
      <c r="R717" s="10" t="s">
        <v>564</v>
      </c>
      <c r="S717" s="11"/>
      <c r="T717" s="6"/>
      <c r="U717" s="24" t="str">
        <f>HYPERLINK("https://media.infra-m.ru/1906/1906110/cover/1906110.jpg", "Обложка")</f>
        <v>Обложка</v>
      </c>
      <c r="V717" s="24" t="str">
        <f>HYPERLINK("https://znanium.ru/catalog/product/2124789", "Ознакомиться")</f>
        <v>Ознакомиться</v>
      </c>
      <c r="W717" s="8" t="s">
        <v>686</v>
      </c>
      <c r="X717" s="6"/>
      <c r="Y717" s="6"/>
      <c r="Z717" s="6"/>
      <c r="AA717" s="6" t="s">
        <v>4405</v>
      </c>
      <c r="AB717" s="8"/>
    </row>
    <row r="718" spans="1:28" s="4" customFormat="1" ht="42" customHeight="1">
      <c r="A718" s="5">
        <v>0</v>
      </c>
      <c r="B718" s="6" t="s">
        <v>4406</v>
      </c>
      <c r="C718" s="7">
        <v>2688</v>
      </c>
      <c r="D718" s="8" t="s">
        <v>4407</v>
      </c>
      <c r="E718" s="8" t="s">
        <v>4408</v>
      </c>
      <c r="F718" s="8" t="s">
        <v>4393</v>
      </c>
      <c r="G718" s="6" t="s">
        <v>81</v>
      </c>
      <c r="H718" s="6" t="s">
        <v>182</v>
      </c>
      <c r="I718" s="8" t="s">
        <v>3259</v>
      </c>
      <c r="J718" s="9">
        <v>1</v>
      </c>
      <c r="K718" s="9">
        <v>486</v>
      </c>
      <c r="L718" s="9">
        <v>2024</v>
      </c>
      <c r="M718" s="8" t="s">
        <v>4409</v>
      </c>
      <c r="N718" s="8" t="s">
        <v>42</v>
      </c>
      <c r="O718" s="8" t="s">
        <v>101</v>
      </c>
      <c r="P718" s="6" t="s">
        <v>44</v>
      </c>
      <c r="Q718" s="8" t="s">
        <v>45</v>
      </c>
      <c r="R718" s="10" t="s">
        <v>564</v>
      </c>
      <c r="S718" s="11"/>
      <c r="T718" s="6"/>
      <c r="U718" s="24" t="str">
        <f>HYPERLINK("https://media.infra-m.ru/2124/2124789/cover/2124789.jpg", "Обложка")</f>
        <v>Обложка</v>
      </c>
      <c r="V718" s="24" t="str">
        <f>HYPERLINK("https://znanium.ru/catalog/product/2124789", "Ознакомиться")</f>
        <v>Ознакомиться</v>
      </c>
      <c r="W718" s="8" t="s">
        <v>686</v>
      </c>
      <c r="X718" s="6"/>
      <c r="Y718" s="6"/>
      <c r="Z718" s="6"/>
      <c r="AA718" s="6" t="s">
        <v>4410</v>
      </c>
      <c r="AB718" s="8"/>
    </row>
    <row r="719" spans="1:28" s="4" customFormat="1" ht="51.95" customHeight="1">
      <c r="A719" s="5">
        <v>0</v>
      </c>
      <c r="B719" s="6" t="s">
        <v>4411</v>
      </c>
      <c r="C719" s="7">
        <v>1596</v>
      </c>
      <c r="D719" s="8" t="s">
        <v>4412</v>
      </c>
      <c r="E719" s="8" t="s">
        <v>4413</v>
      </c>
      <c r="F719" s="8" t="s">
        <v>4414</v>
      </c>
      <c r="G719" s="6" t="s">
        <v>38</v>
      </c>
      <c r="H719" s="6" t="s">
        <v>39</v>
      </c>
      <c r="I719" s="8" t="s">
        <v>40</v>
      </c>
      <c r="J719" s="9">
        <v>1</v>
      </c>
      <c r="K719" s="9">
        <v>287</v>
      </c>
      <c r="L719" s="9">
        <v>2024</v>
      </c>
      <c r="M719" s="8" t="s">
        <v>4415</v>
      </c>
      <c r="N719" s="8" t="s">
        <v>42</v>
      </c>
      <c r="O719" s="8" t="s">
        <v>101</v>
      </c>
      <c r="P719" s="6" t="s">
        <v>44</v>
      </c>
      <c r="Q719" s="8" t="s">
        <v>45</v>
      </c>
      <c r="R719" s="10" t="s">
        <v>261</v>
      </c>
      <c r="S719" s="11"/>
      <c r="T719" s="6" t="s">
        <v>1080</v>
      </c>
      <c r="U719" s="24" t="str">
        <f>HYPERLINK("https://media.infra-m.ru/2115/2115733/cover/2115733.jpg", "Обложка")</f>
        <v>Обложка</v>
      </c>
      <c r="V719" s="24" t="str">
        <f>HYPERLINK("https://znanium.ru/catalog/product/2115733", "Ознакомиться")</f>
        <v>Ознакомиться</v>
      </c>
      <c r="W719" s="8" t="s">
        <v>1627</v>
      </c>
      <c r="X719" s="6"/>
      <c r="Y719" s="6"/>
      <c r="Z719" s="6"/>
      <c r="AA719" s="6" t="s">
        <v>127</v>
      </c>
      <c r="AB719" s="8"/>
    </row>
    <row r="720" spans="1:28" s="4" customFormat="1" ht="42" customHeight="1">
      <c r="A720" s="5">
        <v>0</v>
      </c>
      <c r="B720" s="6" t="s">
        <v>4416</v>
      </c>
      <c r="C720" s="7">
        <v>1169.9000000000001</v>
      </c>
      <c r="D720" s="8" t="s">
        <v>4417</v>
      </c>
      <c r="E720" s="8" t="s">
        <v>4418</v>
      </c>
      <c r="F720" s="8" t="s">
        <v>4419</v>
      </c>
      <c r="G720" s="6" t="s">
        <v>132</v>
      </c>
      <c r="H720" s="6" t="s">
        <v>39</v>
      </c>
      <c r="I720" s="8" t="s">
        <v>344</v>
      </c>
      <c r="J720" s="9">
        <v>1</v>
      </c>
      <c r="K720" s="9">
        <v>248</v>
      </c>
      <c r="L720" s="9">
        <v>2022</v>
      </c>
      <c r="M720" s="8" t="s">
        <v>4420</v>
      </c>
      <c r="N720" s="8" t="s">
        <v>42</v>
      </c>
      <c r="O720" s="8" t="s">
        <v>189</v>
      </c>
      <c r="P720" s="6" t="s">
        <v>44</v>
      </c>
      <c r="Q720" s="8" t="s">
        <v>45</v>
      </c>
      <c r="R720" s="10" t="s">
        <v>1100</v>
      </c>
      <c r="S720" s="11"/>
      <c r="T720" s="6"/>
      <c r="U720" s="24" t="str">
        <f>HYPERLINK("https://media.infra-m.ru/1851/1851139/cover/1851139.jpg", "Обложка")</f>
        <v>Обложка</v>
      </c>
      <c r="V720" s="12"/>
      <c r="W720" s="8" t="s">
        <v>346</v>
      </c>
      <c r="X720" s="6"/>
      <c r="Y720" s="6"/>
      <c r="Z720" s="6"/>
      <c r="AA720" s="6" t="s">
        <v>1494</v>
      </c>
      <c r="AB720" s="8"/>
    </row>
    <row r="721" spans="1:28" s="4" customFormat="1" ht="51.95" customHeight="1">
      <c r="A721" s="5">
        <v>0</v>
      </c>
      <c r="B721" s="6" t="s">
        <v>4421</v>
      </c>
      <c r="C721" s="7">
        <v>1144.8</v>
      </c>
      <c r="D721" s="8" t="s">
        <v>4422</v>
      </c>
      <c r="E721" s="8" t="s">
        <v>4423</v>
      </c>
      <c r="F721" s="8" t="s">
        <v>4424</v>
      </c>
      <c r="G721" s="6" t="s">
        <v>132</v>
      </c>
      <c r="H721" s="6" t="s">
        <v>99</v>
      </c>
      <c r="I721" s="8"/>
      <c r="J721" s="9">
        <v>1</v>
      </c>
      <c r="K721" s="9">
        <v>184</v>
      </c>
      <c r="L721" s="9">
        <v>2025</v>
      </c>
      <c r="M721" s="8" t="s">
        <v>4425</v>
      </c>
      <c r="N721" s="8" t="s">
        <v>42</v>
      </c>
      <c r="O721" s="8" t="s">
        <v>2306</v>
      </c>
      <c r="P721" s="6" t="s">
        <v>44</v>
      </c>
      <c r="Q721" s="8" t="s">
        <v>45</v>
      </c>
      <c r="R721" s="10" t="s">
        <v>4426</v>
      </c>
      <c r="S721" s="11"/>
      <c r="T721" s="6"/>
      <c r="U721" s="24" t="str">
        <f>HYPERLINK("https://media.infra-m.ru/2193/2193227/cover/2193227.jpg", "Обложка")</f>
        <v>Обложка</v>
      </c>
      <c r="V721" s="24" t="str">
        <f>HYPERLINK("https://znanium.ru/catalog/product/1864981", "Ознакомиться")</f>
        <v>Ознакомиться</v>
      </c>
      <c r="W721" s="8" t="s">
        <v>3188</v>
      </c>
      <c r="X721" s="6"/>
      <c r="Y721" s="6"/>
      <c r="Z721" s="6"/>
      <c r="AA721" s="6" t="s">
        <v>111</v>
      </c>
      <c r="AB721" s="8"/>
    </row>
    <row r="722" spans="1:28" s="4" customFormat="1" ht="42" customHeight="1">
      <c r="A722" s="5">
        <v>0</v>
      </c>
      <c r="B722" s="6" t="s">
        <v>4427</v>
      </c>
      <c r="C722" s="7">
        <v>1188</v>
      </c>
      <c r="D722" s="8" t="s">
        <v>4428</v>
      </c>
      <c r="E722" s="8" t="s">
        <v>4429</v>
      </c>
      <c r="F722" s="8" t="s">
        <v>4430</v>
      </c>
      <c r="G722" s="6" t="s">
        <v>38</v>
      </c>
      <c r="H722" s="6" t="s">
        <v>39</v>
      </c>
      <c r="I722" s="8" t="s">
        <v>40</v>
      </c>
      <c r="J722" s="9">
        <v>1</v>
      </c>
      <c r="K722" s="9">
        <v>185</v>
      </c>
      <c r="L722" s="9">
        <v>2026</v>
      </c>
      <c r="M722" s="8" t="s">
        <v>4431</v>
      </c>
      <c r="N722" s="8" t="s">
        <v>54</v>
      </c>
      <c r="O722" s="8" t="s">
        <v>140</v>
      </c>
      <c r="P722" s="6" t="s">
        <v>44</v>
      </c>
      <c r="Q722" s="8" t="s">
        <v>45</v>
      </c>
      <c r="R722" s="10" t="s">
        <v>4432</v>
      </c>
      <c r="S722" s="11"/>
      <c r="T722" s="6"/>
      <c r="U722" s="24" t="str">
        <f>HYPERLINK("https://media.infra-m.ru/2211/2211987/cover/2211987.jpg", "Обложка")</f>
        <v>Обложка</v>
      </c>
      <c r="V722" s="24" t="str">
        <f>HYPERLINK("https://znanium.ru/catalog/product/2211987", "Ознакомиться")</f>
        <v>Ознакомиться</v>
      </c>
      <c r="W722" s="8" t="s">
        <v>4433</v>
      </c>
      <c r="X722" s="6"/>
      <c r="Y722" s="6"/>
      <c r="Z722" s="6"/>
      <c r="AA722" s="6" t="s">
        <v>68</v>
      </c>
      <c r="AB722" s="8"/>
    </row>
    <row r="723" spans="1:28" s="4" customFormat="1" ht="44.1" customHeight="1">
      <c r="A723" s="5">
        <v>0</v>
      </c>
      <c r="B723" s="6" t="s">
        <v>4434</v>
      </c>
      <c r="C723" s="7">
        <v>1944</v>
      </c>
      <c r="D723" s="8" t="s">
        <v>4435</v>
      </c>
      <c r="E723" s="8" t="s">
        <v>4436</v>
      </c>
      <c r="F723" s="8" t="s">
        <v>4437</v>
      </c>
      <c r="G723" s="6" t="s">
        <v>38</v>
      </c>
      <c r="H723" s="6" t="s">
        <v>39</v>
      </c>
      <c r="I723" s="8" t="s">
        <v>40</v>
      </c>
      <c r="J723" s="9">
        <v>1</v>
      </c>
      <c r="K723" s="9">
        <v>352</v>
      </c>
      <c r="L723" s="9">
        <v>2024</v>
      </c>
      <c r="M723" s="8" t="s">
        <v>4438</v>
      </c>
      <c r="N723" s="8" t="s">
        <v>42</v>
      </c>
      <c r="O723" s="8" t="s">
        <v>189</v>
      </c>
      <c r="P723" s="6" t="s">
        <v>44</v>
      </c>
      <c r="Q723" s="8" t="s">
        <v>45</v>
      </c>
      <c r="R723" s="10" t="s">
        <v>1843</v>
      </c>
      <c r="S723" s="11"/>
      <c r="T723" s="6" t="s">
        <v>1080</v>
      </c>
      <c r="U723" s="24" t="str">
        <f>HYPERLINK("https://media.infra-m.ru/2085/2085109/cover/2085109.jpg", "Обложка")</f>
        <v>Обложка</v>
      </c>
      <c r="V723" s="24" t="str">
        <f>HYPERLINK("https://znanium.ru/catalog/product/2085109", "Ознакомиться")</f>
        <v>Ознакомиться</v>
      </c>
      <c r="W723" s="8" t="s">
        <v>4439</v>
      </c>
      <c r="X723" s="6"/>
      <c r="Y723" s="6"/>
      <c r="Z723" s="6"/>
      <c r="AA723" s="6" t="s">
        <v>68</v>
      </c>
      <c r="AB723" s="8"/>
    </row>
    <row r="724" spans="1:28" s="4" customFormat="1" ht="51.95" customHeight="1">
      <c r="A724" s="5">
        <v>0</v>
      </c>
      <c r="B724" s="6" t="s">
        <v>4440</v>
      </c>
      <c r="C724" s="7">
        <v>2548.8000000000002</v>
      </c>
      <c r="D724" s="8" t="s">
        <v>4441</v>
      </c>
      <c r="E724" s="8" t="s">
        <v>4442</v>
      </c>
      <c r="F724" s="8" t="s">
        <v>3093</v>
      </c>
      <c r="G724" s="6" t="s">
        <v>81</v>
      </c>
      <c r="H724" s="6" t="s">
        <v>99</v>
      </c>
      <c r="I724" s="8"/>
      <c r="J724" s="9">
        <v>1</v>
      </c>
      <c r="K724" s="9">
        <v>408</v>
      </c>
      <c r="L724" s="9">
        <v>2026</v>
      </c>
      <c r="M724" s="8" t="s">
        <v>4443</v>
      </c>
      <c r="N724" s="8" t="s">
        <v>42</v>
      </c>
      <c r="O724" s="8" t="s">
        <v>101</v>
      </c>
      <c r="P724" s="6" t="s">
        <v>44</v>
      </c>
      <c r="Q724" s="8" t="s">
        <v>45</v>
      </c>
      <c r="R724" s="10" t="s">
        <v>2542</v>
      </c>
      <c r="S724" s="11"/>
      <c r="T724" s="6"/>
      <c r="U724" s="24" t="str">
        <f>HYPERLINK("https://media.infra-m.ru/2221/2221366/cover/2221366.jpg", "Обложка")</f>
        <v>Обложка</v>
      </c>
      <c r="V724" s="24" t="str">
        <f>HYPERLINK("https://znanium.ru/catalog/product/1915924", "Ознакомиться")</f>
        <v>Ознакомиться</v>
      </c>
      <c r="W724" s="8" t="s">
        <v>191</v>
      </c>
      <c r="X724" s="6"/>
      <c r="Y724" s="6"/>
      <c r="Z724" s="6"/>
      <c r="AA724" s="6" t="s">
        <v>199</v>
      </c>
      <c r="AB724" s="8"/>
    </row>
    <row r="725" spans="1:28" s="4" customFormat="1" ht="42" customHeight="1">
      <c r="A725" s="5">
        <v>0</v>
      </c>
      <c r="B725" s="6" t="s">
        <v>4444</v>
      </c>
      <c r="C725" s="7">
        <v>1596</v>
      </c>
      <c r="D725" s="8" t="s">
        <v>4445</v>
      </c>
      <c r="E725" s="8" t="s">
        <v>4446</v>
      </c>
      <c r="F725" s="8" t="s">
        <v>4447</v>
      </c>
      <c r="G725" s="6" t="s">
        <v>81</v>
      </c>
      <c r="H725" s="6" t="s">
        <v>39</v>
      </c>
      <c r="I725" s="8" t="s">
        <v>40</v>
      </c>
      <c r="J725" s="9">
        <v>1</v>
      </c>
      <c r="K725" s="9">
        <v>242</v>
      </c>
      <c r="L725" s="9">
        <v>2026</v>
      </c>
      <c r="M725" s="8" t="s">
        <v>4448</v>
      </c>
      <c r="N725" s="8" t="s">
        <v>54</v>
      </c>
      <c r="O725" s="8" t="s">
        <v>140</v>
      </c>
      <c r="P725" s="6" t="s">
        <v>44</v>
      </c>
      <c r="Q725" s="8" t="s">
        <v>45</v>
      </c>
      <c r="R725" s="10" t="s">
        <v>4449</v>
      </c>
      <c r="S725" s="11"/>
      <c r="T725" s="6"/>
      <c r="U725" s="24" t="str">
        <f>HYPERLINK("https://media.infra-m.ru/2116/2116805/cover/2116805.jpg", "Обложка")</f>
        <v>Обложка</v>
      </c>
      <c r="V725" s="24" t="str">
        <f>HYPERLINK("https://znanium.ru/catalog/product/2116805", "Ознакомиться")</f>
        <v>Ознакомиться</v>
      </c>
      <c r="W725" s="8" t="s">
        <v>4450</v>
      </c>
      <c r="X725" s="6"/>
      <c r="Y725" s="6"/>
      <c r="Z725" s="6"/>
      <c r="AA725" s="6" t="s">
        <v>377</v>
      </c>
      <c r="AB725" s="8"/>
    </row>
    <row r="726" spans="1:28" s="4" customFormat="1" ht="42" customHeight="1">
      <c r="A726" s="5">
        <v>0</v>
      </c>
      <c r="B726" s="6" t="s">
        <v>4451</v>
      </c>
      <c r="C726" s="7">
        <v>1668</v>
      </c>
      <c r="D726" s="8" t="s">
        <v>4452</v>
      </c>
      <c r="E726" s="8" t="s">
        <v>4453</v>
      </c>
      <c r="F726" s="8" t="s">
        <v>4454</v>
      </c>
      <c r="G726" s="6" t="s">
        <v>132</v>
      </c>
      <c r="H726" s="6" t="s">
        <v>39</v>
      </c>
      <c r="I726" s="8" t="s">
        <v>752</v>
      </c>
      <c r="J726" s="9">
        <v>1</v>
      </c>
      <c r="K726" s="9">
        <v>202</v>
      </c>
      <c r="L726" s="9">
        <v>2025</v>
      </c>
      <c r="M726" s="8" t="s">
        <v>4455</v>
      </c>
      <c r="N726" s="8" t="s">
        <v>42</v>
      </c>
      <c r="O726" s="8" t="s">
        <v>1035</v>
      </c>
      <c r="P726" s="6" t="s">
        <v>44</v>
      </c>
      <c r="Q726" s="8" t="s">
        <v>45</v>
      </c>
      <c r="R726" s="10" t="s">
        <v>1100</v>
      </c>
      <c r="S726" s="11"/>
      <c r="T726" s="6"/>
      <c r="U726" s="24" t="str">
        <f>HYPERLINK("https://media.infra-m.ru/2186/2186588/cover/2186588.jpg", "Обложка")</f>
        <v>Обложка</v>
      </c>
      <c r="V726" s="24" t="str">
        <f>HYPERLINK("https://znanium.ru/catalog/product/2186588", "Ознакомиться")</f>
        <v>Ознакомиться</v>
      </c>
      <c r="W726" s="8" t="s">
        <v>2234</v>
      </c>
      <c r="X726" s="6" t="s">
        <v>517</v>
      </c>
      <c r="Y726" s="6"/>
      <c r="Z726" s="6"/>
      <c r="AA726" s="6" t="s">
        <v>159</v>
      </c>
      <c r="AB726" s="8"/>
    </row>
    <row r="727" spans="1:28" s="4" customFormat="1" ht="42" customHeight="1">
      <c r="A727" s="5">
        <v>0</v>
      </c>
      <c r="B727" s="6" t="s">
        <v>4456</v>
      </c>
      <c r="C727" s="7">
        <v>1836</v>
      </c>
      <c r="D727" s="8" t="s">
        <v>4457</v>
      </c>
      <c r="E727" s="8" t="s">
        <v>4458</v>
      </c>
      <c r="F727" s="8" t="s">
        <v>4459</v>
      </c>
      <c r="G727" s="6" t="s">
        <v>132</v>
      </c>
      <c r="H727" s="6" t="s">
        <v>39</v>
      </c>
      <c r="I727" s="8" t="s">
        <v>40</v>
      </c>
      <c r="J727" s="9">
        <v>1</v>
      </c>
      <c r="K727" s="9">
        <v>287</v>
      </c>
      <c r="L727" s="9">
        <v>2025</v>
      </c>
      <c r="M727" s="8" t="s">
        <v>4460</v>
      </c>
      <c r="N727" s="8" t="s">
        <v>42</v>
      </c>
      <c r="O727" s="8" t="s">
        <v>1035</v>
      </c>
      <c r="P727" s="6" t="s">
        <v>44</v>
      </c>
      <c r="Q727" s="8" t="s">
        <v>45</v>
      </c>
      <c r="R727" s="10" t="s">
        <v>1290</v>
      </c>
      <c r="S727" s="11"/>
      <c r="T727" s="6"/>
      <c r="U727" s="24" t="str">
        <f>HYPERLINK("https://media.infra-m.ru/2172/2172769/cover/2172769.jpg", "Обложка")</f>
        <v>Обложка</v>
      </c>
      <c r="V727" s="24" t="str">
        <f>HYPERLINK("https://znanium.ru/catalog/product/2172769", "Ознакомиться")</f>
        <v>Ознакомиться</v>
      </c>
      <c r="W727" s="8" t="s">
        <v>1258</v>
      </c>
      <c r="X727" s="6" t="s">
        <v>306</v>
      </c>
      <c r="Y727" s="6"/>
      <c r="Z727" s="6"/>
      <c r="AA727" s="6" t="s">
        <v>321</v>
      </c>
      <c r="AB727" s="8" t="s">
        <v>1101</v>
      </c>
    </row>
    <row r="728" spans="1:28" s="4" customFormat="1" ht="44.1" customHeight="1">
      <c r="A728" s="5">
        <v>0</v>
      </c>
      <c r="B728" s="6" t="s">
        <v>4461</v>
      </c>
      <c r="C728" s="13">
        <v>756</v>
      </c>
      <c r="D728" s="8" t="s">
        <v>4462</v>
      </c>
      <c r="E728" s="8" t="s">
        <v>4463</v>
      </c>
      <c r="F728" s="8" t="s">
        <v>4464</v>
      </c>
      <c r="G728" s="6" t="s">
        <v>81</v>
      </c>
      <c r="H728" s="6" t="s">
        <v>39</v>
      </c>
      <c r="I728" s="8" t="s">
        <v>82</v>
      </c>
      <c r="J728" s="9">
        <v>1</v>
      </c>
      <c r="K728" s="9">
        <v>135</v>
      </c>
      <c r="L728" s="9">
        <v>2023</v>
      </c>
      <c r="M728" s="8" t="s">
        <v>4465</v>
      </c>
      <c r="N728" s="8" t="s">
        <v>220</v>
      </c>
      <c r="O728" s="8" t="s">
        <v>296</v>
      </c>
      <c r="P728" s="6" t="s">
        <v>44</v>
      </c>
      <c r="Q728" s="8" t="s">
        <v>45</v>
      </c>
      <c r="R728" s="10" t="s">
        <v>4466</v>
      </c>
      <c r="S728" s="11"/>
      <c r="T728" s="6"/>
      <c r="U728" s="24" t="str">
        <f>HYPERLINK("https://media.infra-m.ru/2126/2126474/cover/2126474.jpg", "Обложка")</f>
        <v>Обложка</v>
      </c>
      <c r="V728" s="24" t="str">
        <f>HYPERLINK("https://znanium.ru/catalog/product/2126474", "Ознакомиться")</f>
        <v>Ознакомиться</v>
      </c>
      <c r="W728" s="8" t="s">
        <v>232</v>
      </c>
      <c r="X728" s="6"/>
      <c r="Y728" s="6"/>
      <c r="Z728" s="6"/>
      <c r="AA728" s="6" t="s">
        <v>76</v>
      </c>
      <c r="AB728" s="8"/>
    </row>
    <row r="729" spans="1:28" s="4" customFormat="1" ht="44.1" customHeight="1">
      <c r="A729" s="5">
        <v>0</v>
      </c>
      <c r="B729" s="6" t="s">
        <v>4467</v>
      </c>
      <c r="C729" s="13">
        <v>948</v>
      </c>
      <c r="D729" s="8" t="s">
        <v>4468</v>
      </c>
      <c r="E729" s="8" t="s">
        <v>4469</v>
      </c>
      <c r="F729" s="8" t="s">
        <v>4470</v>
      </c>
      <c r="G729" s="6" t="s">
        <v>38</v>
      </c>
      <c r="H729" s="6" t="s">
        <v>39</v>
      </c>
      <c r="I729" s="8" t="s">
        <v>40</v>
      </c>
      <c r="J729" s="9">
        <v>1</v>
      </c>
      <c r="K729" s="9">
        <v>149</v>
      </c>
      <c r="L729" s="9">
        <v>2025</v>
      </c>
      <c r="M729" s="8" t="s">
        <v>4471</v>
      </c>
      <c r="N729" s="8" t="s">
        <v>284</v>
      </c>
      <c r="O729" s="8" t="s">
        <v>482</v>
      </c>
      <c r="P729" s="6" t="s">
        <v>44</v>
      </c>
      <c r="Q729" s="8" t="s">
        <v>45</v>
      </c>
      <c r="R729" s="10" t="s">
        <v>4472</v>
      </c>
      <c r="S729" s="11"/>
      <c r="T729" s="6"/>
      <c r="U729" s="24" t="str">
        <f>HYPERLINK("https://media.infra-m.ru/2191/2191458/cover/2191458.jpg", "Обложка")</f>
        <v>Обложка</v>
      </c>
      <c r="V729" s="24" t="str">
        <f>HYPERLINK("https://znanium.ru/catalog/product/2191458", "Ознакомиться")</f>
        <v>Ознакомиться</v>
      </c>
      <c r="W729" s="8" t="s">
        <v>4473</v>
      </c>
      <c r="X729" s="6"/>
      <c r="Y729" s="6"/>
      <c r="Z729" s="6"/>
      <c r="AA729" s="6" t="s">
        <v>127</v>
      </c>
      <c r="AB729" s="8"/>
    </row>
    <row r="730" spans="1:28" s="4" customFormat="1" ht="44.1" customHeight="1">
      <c r="A730" s="5">
        <v>0</v>
      </c>
      <c r="B730" s="6" t="s">
        <v>4474</v>
      </c>
      <c r="C730" s="7">
        <v>2752.8</v>
      </c>
      <c r="D730" s="8" t="s">
        <v>4475</v>
      </c>
      <c r="E730" s="8" t="s">
        <v>4476</v>
      </c>
      <c r="F730" s="8" t="s">
        <v>4477</v>
      </c>
      <c r="G730" s="6" t="s">
        <v>132</v>
      </c>
      <c r="H730" s="6" t="s">
        <v>39</v>
      </c>
      <c r="I730" s="8" t="s">
        <v>4478</v>
      </c>
      <c r="J730" s="9">
        <v>1</v>
      </c>
      <c r="K730" s="9">
        <v>441</v>
      </c>
      <c r="L730" s="9">
        <v>2026</v>
      </c>
      <c r="M730" s="8" t="s">
        <v>4479</v>
      </c>
      <c r="N730" s="8" t="s">
        <v>284</v>
      </c>
      <c r="O730" s="8" t="s">
        <v>717</v>
      </c>
      <c r="P730" s="6" t="s">
        <v>415</v>
      </c>
      <c r="Q730" s="8" t="s">
        <v>4480</v>
      </c>
      <c r="R730" s="10" t="s">
        <v>4481</v>
      </c>
      <c r="S730" s="11"/>
      <c r="T730" s="6"/>
      <c r="U730" s="24" t="str">
        <f>HYPERLINK("https://media.infra-m.ru/2223/2223163/cover/2223163.jpg", "Обложка")</f>
        <v>Обложка</v>
      </c>
      <c r="V730" s="24" t="str">
        <f>HYPERLINK("https://znanium.ru/catalog/product/2175044", "Ознакомиться")</f>
        <v>Ознакомиться</v>
      </c>
      <c r="W730" s="8" t="s">
        <v>3137</v>
      </c>
      <c r="X730" s="6"/>
      <c r="Y730" s="6"/>
      <c r="Z730" s="6"/>
      <c r="AA730" s="6" t="s">
        <v>369</v>
      </c>
      <c r="AB730" s="8" t="s">
        <v>653</v>
      </c>
    </row>
    <row r="731" spans="1:28" s="4" customFormat="1" ht="51.95" customHeight="1">
      <c r="A731" s="5">
        <v>0</v>
      </c>
      <c r="B731" s="6" t="s">
        <v>4482</v>
      </c>
      <c r="C731" s="7">
        <v>1200</v>
      </c>
      <c r="D731" s="8" t="s">
        <v>4483</v>
      </c>
      <c r="E731" s="8" t="s">
        <v>4484</v>
      </c>
      <c r="F731" s="8" t="s">
        <v>4485</v>
      </c>
      <c r="G731" s="6" t="s">
        <v>81</v>
      </c>
      <c r="H731" s="6" t="s">
        <v>326</v>
      </c>
      <c r="I731" s="8" t="s">
        <v>4486</v>
      </c>
      <c r="J731" s="9">
        <v>1</v>
      </c>
      <c r="K731" s="9">
        <v>223</v>
      </c>
      <c r="L731" s="9">
        <v>2023</v>
      </c>
      <c r="M731" s="8" t="s">
        <v>4487</v>
      </c>
      <c r="N731" s="8" t="s">
        <v>284</v>
      </c>
      <c r="O731" s="8" t="s">
        <v>717</v>
      </c>
      <c r="P731" s="6" t="s">
        <v>239</v>
      </c>
      <c r="Q731" s="8" t="s">
        <v>4480</v>
      </c>
      <c r="R731" s="10" t="s">
        <v>4488</v>
      </c>
      <c r="S731" s="11" t="s">
        <v>4489</v>
      </c>
      <c r="T731" s="6"/>
      <c r="U731" s="24" t="str">
        <f>HYPERLINK("https://media.infra-m.ru/1865/1865314/cover/1865314.jpg", "Обложка")</f>
        <v>Обложка</v>
      </c>
      <c r="V731" s="24" t="str">
        <f>HYPERLINK("https://znanium.ru/catalog/product/1865314", "Ознакомиться")</f>
        <v>Ознакомиться</v>
      </c>
      <c r="W731" s="8" t="s">
        <v>971</v>
      </c>
      <c r="X731" s="6"/>
      <c r="Y731" s="6"/>
      <c r="Z731" s="6"/>
      <c r="AA731" s="6" t="s">
        <v>68</v>
      </c>
      <c r="AB731" s="8"/>
    </row>
    <row r="732" spans="1:28" s="4" customFormat="1" ht="51.95" customHeight="1">
      <c r="A732" s="5">
        <v>0</v>
      </c>
      <c r="B732" s="6" t="s">
        <v>4490</v>
      </c>
      <c r="C732" s="7">
        <v>4320</v>
      </c>
      <c r="D732" s="8" t="s">
        <v>4491</v>
      </c>
      <c r="E732" s="8" t="s">
        <v>4492</v>
      </c>
      <c r="F732" s="8"/>
      <c r="G732" s="6" t="s">
        <v>132</v>
      </c>
      <c r="H732" s="6" t="s">
        <v>39</v>
      </c>
      <c r="I732" s="8"/>
      <c r="J732" s="9">
        <v>1</v>
      </c>
      <c r="K732" s="9">
        <v>716</v>
      </c>
      <c r="L732" s="9">
        <v>2025</v>
      </c>
      <c r="M732" s="8" t="s">
        <v>4493</v>
      </c>
      <c r="N732" s="8" t="s">
        <v>42</v>
      </c>
      <c r="O732" s="8" t="s">
        <v>101</v>
      </c>
      <c r="P732" s="6" t="s">
        <v>4494</v>
      </c>
      <c r="Q732" s="8" t="s">
        <v>45</v>
      </c>
      <c r="R732" s="10" t="s">
        <v>4495</v>
      </c>
      <c r="S732" s="11"/>
      <c r="T732" s="6"/>
      <c r="U732" s="24" t="str">
        <f>HYPERLINK("https://media.infra-m.ru/2065/2065306/cover/2065306.jpg", "Обложка")</f>
        <v>Обложка</v>
      </c>
      <c r="V732" s="12"/>
      <c r="W732" s="8"/>
      <c r="X732" s="6" t="s">
        <v>1094</v>
      </c>
      <c r="Y732" s="6"/>
      <c r="Z732" s="6"/>
      <c r="AA732" s="6" t="s">
        <v>159</v>
      </c>
      <c r="AB732" s="8"/>
    </row>
    <row r="733" spans="1:28" s="4" customFormat="1" ht="42" customHeight="1">
      <c r="A733" s="5">
        <v>0</v>
      </c>
      <c r="B733" s="6" t="s">
        <v>4496</v>
      </c>
      <c r="C733" s="13">
        <v>924</v>
      </c>
      <c r="D733" s="8" t="s">
        <v>4497</v>
      </c>
      <c r="E733" s="8" t="s">
        <v>4498</v>
      </c>
      <c r="F733" s="8" t="s">
        <v>4499</v>
      </c>
      <c r="G733" s="6" t="s">
        <v>38</v>
      </c>
      <c r="H733" s="6" t="s">
        <v>39</v>
      </c>
      <c r="I733" s="8" t="s">
        <v>40</v>
      </c>
      <c r="J733" s="9">
        <v>1</v>
      </c>
      <c r="K733" s="9">
        <v>166</v>
      </c>
      <c r="L733" s="9">
        <v>2024</v>
      </c>
      <c r="M733" s="8" t="s">
        <v>4500</v>
      </c>
      <c r="N733" s="8" t="s">
        <v>54</v>
      </c>
      <c r="O733" s="8" t="s">
        <v>55</v>
      </c>
      <c r="P733" s="6" t="s">
        <v>44</v>
      </c>
      <c r="Q733" s="8" t="s">
        <v>45</v>
      </c>
      <c r="R733" s="10" t="s">
        <v>3390</v>
      </c>
      <c r="S733" s="11"/>
      <c r="T733" s="6"/>
      <c r="U733" s="24" t="str">
        <f>HYPERLINK("https://media.infra-m.ru/2063/2063375/cover/2063375.jpg", "Обложка")</f>
        <v>Обложка</v>
      </c>
      <c r="V733" s="24" t="str">
        <f>HYPERLINK("https://znanium.ru/catalog/product/2063375", "Ознакомиться")</f>
        <v>Ознакомиться</v>
      </c>
      <c r="W733" s="8" t="s">
        <v>4178</v>
      </c>
      <c r="X733" s="6"/>
      <c r="Y733" s="6"/>
      <c r="Z733" s="6"/>
      <c r="AA733" s="6" t="s">
        <v>68</v>
      </c>
      <c r="AB733" s="8" t="s">
        <v>653</v>
      </c>
    </row>
    <row r="734" spans="1:28" s="4" customFormat="1" ht="51.95" customHeight="1">
      <c r="A734" s="5">
        <v>0</v>
      </c>
      <c r="B734" s="6" t="s">
        <v>4501</v>
      </c>
      <c r="C734" s="7">
        <v>1492.8</v>
      </c>
      <c r="D734" s="8" t="s">
        <v>4502</v>
      </c>
      <c r="E734" s="8" t="s">
        <v>4503</v>
      </c>
      <c r="F734" s="8" t="s">
        <v>4504</v>
      </c>
      <c r="G734" s="6" t="s">
        <v>132</v>
      </c>
      <c r="H734" s="6" t="s">
        <v>2052</v>
      </c>
      <c r="I734" s="8"/>
      <c r="J734" s="9">
        <v>1</v>
      </c>
      <c r="K734" s="9">
        <v>240</v>
      </c>
      <c r="L734" s="9">
        <v>2026</v>
      </c>
      <c r="M734" s="8" t="s">
        <v>4505</v>
      </c>
      <c r="N734" s="8" t="s">
        <v>42</v>
      </c>
      <c r="O734" s="8" t="s">
        <v>101</v>
      </c>
      <c r="P734" s="6" t="s">
        <v>44</v>
      </c>
      <c r="Q734" s="8" t="s">
        <v>45</v>
      </c>
      <c r="R734" s="10" t="s">
        <v>2542</v>
      </c>
      <c r="S734" s="11"/>
      <c r="T734" s="6"/>
      <c r="U734" s="24" t="str">
        <f>HYPERLINK("https://media.infra-m.ru/2218/2218484/cover/2218484.jpg", "Обложка")</f>
        <v>Обложка</v>
      </c>
      <c r="V734" s="24" t="str">
        <f>HYPERLINK("https://znanium.ru/catalog/product/2130208", "Ознакомиться")</f>
        <v>Ознакомиться</v>
      </c>
      <c r="W734" s="8" t="s">
        <v>803</v>
      </c>
      <c r="X734" s="6"/>
      <c r="Y734" s="6"/>
      <c r="Z734" s="6"/>
      <c r="AA734" s="6" t="s">
        <v>168</v>
      </c>
      <c r="AB734" s="8"/>
    </row>
    <row r="735" spans="1:28" s="4" customFormat="1" ht="42" customHeight="1">
      <c r="A735" s="5">
        <v>0</v>
      </c>
      <c r="B735" s="6" t="s">
        <v>4506</v>
      </c>
      <c r="C735" s="13">
        <v>989.9</v>
      </c>
      <c r="D735" s="8" t="s">
        <v>4507</v>
      </c>
      <c r="E735" s="8" t="s">
        <v>4508</v>
      </c>
      <c r="F735" s="8" t="s">
        <v>4509</v>
      </c>
      <c r="G735" s="6" t="s">
        <v>38</v>
      </c>
      <c r="H735" s="6" t="s">
        <v>39</v>
      </c>
      <c r="I735" s="8" t="s">
        <v>40</v>
      </c>
      <c r="J735" s="9">
        <v>1</v>
      </c>
      <c r="K735" s="9">
        <v>162</v>
      </c>
      <c r="L735" s="9">
        <v>2023</v>
      </c>
      <c r="M735" s="8" t="s">
        <v>4510</v>
      </c>
      <c r="N735" s="8" t="s">
        <v>220</v>
      </c>
      <c r="O735" s="8" t="s">
        <v>252</v>
      </c>
      <c r="P735" s="6" t="s">
        <v>44</v>
      </c>
      <c r="Q735" s="8" t="s">
        <v>45</v>
      </c>
      <c r="R735" s="10" t="s">
        <v>4511</v>
      </c>
      <c r="S735" s="11"/>
      <c r="T735" s="6"/>
      <c r="U735" s="24" t="str">
        <f>HYPERLINK("https://media.infra-m.ru/1894/1894478/cover/1894478.jpg", "Обложка")</f>
        <v>Обложка</v>
      </c>
      <c r="V735" s="24" t="str">
        <f>HYPERLINK("https://znanium.ru/catalog/product/1859642", "Ознакомиться")</f>
        <v>Ознакомиться</v>
      </c>
      <c r="W735" s="8" t="s">
        <v>3948</v>
      </c>
      <c r="X735" s="6"/>
      <c r="Y735" s="6"/>
      <c r="Z735" s="6"/>
      <c r="AA735" s="6" t="s">
        <v>111</v>
      </c>
      <c r="AB735" s="8"/>
    </row>
    <row r="736" spans="1:28" s="4" customFormat="1" ht="42" customHeight="1">
      <c r="A736" s="5">
        <v>0</v>
      </c>
      <c r="B736" s="6" t="s">
        <v>4512</v>
      </c>
      <c r="C736" s="13">
        <v>628.79999999999995</v>
      </c>
      <c r="D736" s="8" t="s">
        <v>4513</v>
      </c>
      <c r="E736" s="8" t="s">
        <v>4514</v>
      </c>
      <c r="F736" s="8" t="s">
        <v>4515</v>
      </c>
      <c r="G736" s="6" t="s">
        <v>38</v>
      </c>
      <c r="H736" s="6" t="s">
        <v>99</v>
      </c>
      <c r="I736" s="8"/>
      <c r="J736" s="9">
        <v>1</v>
      </c>
      <c r="K736" s="9">
        <v>100</v>
      </c>
      <c r="L736" s="9">
        <v>2026</v>
      </c>
      <c r="M736" s="8" t="s">
        <v>4516</v>
      </c>
      <c r="N736" s="8" t="s">
        <v>42</v>
      </c>
      <c r="O736" s="8" t="s">
        <v>101</v>
      </c>
      <c r="P736" s="6" t="s">
        <v>44</v>
      </c>
      <c r="Q736" s="8" t="s">
        <v>45</v>
      </c>
      <c r="R736" s="10" t="s">
        <v>2137</v>
      </c>
      <c r="S736" s="11"/>
      <c r="T736" s="6"/>
      <c r="U736" s="24" t="str">
        <f>HYPERLINK("https://media.infra-m.ru/2220/2220734/cover/2220734.jpg", "Обложка")</f>
        <v>Обложка</v>
      </c>
      <c r="V736" s="24" t="str">
        <f>HYPERLINK("https://znanium.ru/catalog/product/2143303", "Ознакомиться")</f>
        <v>Ознакомиться</v>
      </c>
      <c r="W736" s="8" t="s">
        <v>305</v>
      </c>
      <c r="X736" s="6"/>
      <c r="Y736" s="6"/>
      <c r="Z736" s="6"/>
      <c r="AA736" s="6" t="s">
        <v>68</v>
      </c>
      <c r="AB736" s="8"/>
    </row>
    <row r="737" spans="1:28" s="4" customFormat="1" ht="44.1" customHeight="1">
      <c r="A737" s="5">
        <v>0</v>
      </c>
      <c r="B737" s="6" t="s">
        <v>4517</v>
      </c>
      <c r="C737" s="7">
        <v>1572</v>
      </c>
      <c r="D737" s="8" t="s">
        <v>4518</v>
      </c>
      <c r="E737" s="8" t="s">
        <v>4519</v>
      </c>
      <c r="F737" s="8" t="s">
        <v>4520</v>
      </c>
      <c r="G737" s="6" t="s">
        <v>38</v>
      </c>
      <c r="H737" s="6" t="s">
        <v>39</v>
      </c>
      <c r="I737" s="8" t="s">
        <v>40</v>
      </c>
      <c r="J737" s="9">
        <v>1</v>
      </c>
      <c r="K737" s="9">
        <v>292</v>
      </c>
      <c r="L737" s="9">
        <v>2023</v>
      </c>
      <c r="M737" s="8" t="s">
        <v>4521</v>
      </c>
      <c r="N737" s="8" t="s">
        <v>42</v>
      </c>
      <c r="O737" s="8" t="s">
        <v>43</v>
      </c>
      <c r="P737" s="6" t="s">
        <v>44</v>
      </c>
      <c r="Q737" s="8" t="s">
        <v>45</v>
      </c>
      <c r="R737" s="10" t="s">
        <v>4522</v>
      </c>
      <c r="S737" s="11"/>
      <c r="T737" s="6"/>
      <c r="U737" s="24" t="str">
        <f>HYPERLINK("https://media.infra-m.ru/1876/1876369/cover/1876369.jpg", "Обложка")</f>
        <v>Обложка</v>
      </c>
      <c r="V737" s="24" t="str">
        <f>HYPERLINK("https://znanium.ru/catalog/product/1876369", "Ознакомиться")</f>
        <v>Ознакомиться</v>
      </c>
      <c r="W737" s="8" t="s">
        <v>641</v>
      </c>
      <c r="X737" s="6"/>
      <c r="Y737" s="6"/>
      <c r="Z737" s="6"/>
      <c r="AA737" s="6" t="s">
        <v>119</v>
      </c>
      <c r="AB737" s="8"/>
    </row>
    <row r="738" spans="1:28" s="4" customFormat="1" ht="42" customHeight="1">
      <c r="A738" s="5">
        <v>0</v>
      </c>
      <c r="B738" s="6" t="s">
        <v>4523</v>
      </c>
      <c r="C738" s="7">
        <v>1200</v>
      </c>
      <c r="D738" s="8" t="s">
        <v>4524</v>
      </c>
      <c r="E738" s="8" t="s">
        <v>4525</v>
      </c>
      <c r="F738" s="8" t="s">
        <v>4526</v>
      </c>
      <c r="G738" s="6" t="s">
        <v>132</v>
      </c>
      <c r="H738" s="6" t="s">
        <v>39</v>
      </c>
      <c r="I738" s="8" t="s">
        <v>40</v>
      </c>
      <c r="J738" s="9">
        <v>1</v>
      </c>
      <c r="K738" s="9">
        <v>193</v>
      </c>
      <c r="L738" s="9">
        <v>2024</v>
      </c>
      <c r="M738" s="8" t="s">
        <v>4527</v>
      </c>
      <c r="N738" s="8" t="s">
        <v>284</v>
      </c>
      <c r="O738" s="8" t="s">
        <v>2265</v>
      </c>
      <c r="P738" s="6" t="s">
        <v>44</v>
      </c>
      <c r="Q738" s="8" t="s">
        <v>45</v>
      </c>
      <c r="R738" s="10" t="s">
        <v>4528</v>
      </c>
      <c r="S738" s="11"/>
      <c r="T738" s="6"/>
      <c r="U738" s="24" t="str">
        <f>HYPERLINK("https://media.infra-m.ru/2100/2100003/cover/2100003.jpg", "Обложка")</f>
        <v>Обложка</v>
      </c>
      <c r="V738" s="24" t="str">
        <f>HYPERLINK("https://znanium.ru/catalog/product/2100003", "Ознакомиться")</f>
        <v>Ознакомиться</v>
      </c>
      <c r="W738" s="8" t="s">
        <v>289</v>
      </c>
      <c r="X738" s="6"/>
      <c r="Y738" s="6"/>
      <c r="Z738" s="6"/>
      <c r="AA738" s="6" t="s">
        <v>58</v>
      </c>
      <c r="AB738" s="8"/>
    </row>
    <row r="739" spans="1:28" s="4" customFormat="1" ht="51.95" customHeight="1">
      <c r="A739" s="5">
        <v>0</v>
      </c>
      <c r="B739" s="6" t="s">
        <v>4529</v>
      </c>
      <c r="C739" s="7">
        <v>2040</v>
      </c>
      <c r="D739" s="8" t="s">
        <v>4530</v>
      </c>
      <c r="E739" s="8" t="s">
        <v>4531</v>
      </c>
      <c r="F739" s="8" t="s">
        <v>4532</v>
      </c>
      <c r="G739" s="6" t="s">
        <v>81</v>
      </c>
      <c r="H739" s="6" t="s">
        <v>39</v>
      </c>
      <c r="I739" s="8" t="s">
        <v>336</v>
      </c>
      <c r="J739" s="9">
        <v>1</v>
      </c>
      <c r="K739" s="9">
        <v>472</v>
      </c>
      <c r="L739" s="9">
        <v>2021</v>
      </c>
      <c r="M739" s="8" t="s">
        <v>4533</v>
      </c>
      <c r="N739" s="8" t="s">
        <v>42</v>
      </c>
      <c r="O739" s="8" t="s">
        <v>101</v>
      </c>
      <c r="P739" s="6" t="s">
        <v>268</v>
      </c>
      <c r="Q739" s="8" t="s">
        <v>287</v>
      </c>
      <c r="R739" s="10" t="s">
        <v>261</v>
      </c>
      <c r="S739" s="11"/>
      <c r="T739" s="6"/>
      <c r="U739" s="24" t="str">
        <f>HYPERLINK("https://media.infra-m.ru/1216/1216935/cover/1216935.jpg", "Обложка")</f>
        <v>Обложка</v>
      </c>
      <c r="V739" s="24" t="str">
        <f>HYPERLINK("https://znanium.ru/catalog/product/1216935", "Ознакомиться")</f>
        <v>Ознакомиться</v>
      </c>
      <c r="W739" s="8" t="s">
        <v>103</v>
      </c>
      <c r="X739" s="6"/>
      <c r="Y739" s="6"/>
      <c r="Z739" s="6"/>
      <c r="AA739" s="6" t="s">
        <v>168</v>
      </c>
      <c r="AB739" s="8"/>
    </row>
    <row r="740" spans="1:28" s="4" customFormat="1" ht="51.95" customHeight="1">
      <c r="A740" s="5">
        <v>0</v>
      </c>
      <c r="B740" s="6" t="s">
        <v>4534</v>
      </c>
      <c r="C740" s="7">
        <v>4196.3999999999996</v>
      </c>
      <c r="D740" s="8" t="s">
        <v>4535</v>
      </c>
      <c r="E740" s="8" t="s">
        <v>4536</v>
      </c>
      <c r="F740" s="8" t="s">
        <v>4537</v>
      </c>
      <c r="G740" s="6" t="s">
        <v>81</v>
      </c>
      <c r="H740" s="6" t="s">
        <v>99</v>
      </c>
      <c r="I740" s="8" t="s">
        <v>4538</v>
      </c>
      <c r="J740" s="9">
        <v>1</v>
      </c>
      <c r="K740" s="9">
        <v>928</v>
      </c>
      <c r="L740" s="9">
        <v>2026</v>
      </c>
      <c r="M740" s="8" t="s">
        <v>4539</v>
      </c>
      <c r="N740" s="8" t="s">
        <v>42</v>
      </c>
      <c r="O740" s="8" t="s">
        <v>101</v>
      </c>
      <c r="P740" s="6" t="s">
        <v>268</v>
      </c>
      <c r="Q740" s="8"/>
      <c r="R740" s="10" t="s">
        <v>4540</v>
      </c>
      <c r="S740" s="11"/>
      <c r="T740" s="6"/>
      <c r="U740" s="24" t="str">
        <f>HYPERLINK("https://media.infra-m.ru/2221/2221654/cover/2221654.jpg", "Обложка")</f>
        <v>Обложка</v>
      </c>
      <c r="V740" s="24" t="str">
        <f>HYPERLINK("https://znanium.ru/catalog/product/1973510", "Ознакомиться")</f>
        <v>Ознакомиться</v>
      </c>
      <c r="W740" s="8" t="s">
        <v>2281</v>
      </c>
      <c r="X740" s="6"/>
      <c r="Y740" s="6" t="s">
        <v>30</v>
      </c>
      <c r="Z740" s="6"/>
      <c r="AA740" s="6" t="s">
        <v>4541</v>
      </c>
      <c r="AB740" s="8"/>
    </row>
    <row r="741" spans="1:28" s="4" customFormat="1" ht="51.95" customHeight="1">
      <c r="A741" s="5">
        <v>0</v>
      </c>
      <c r="B741" s="6" t="s">
        <v>4542</v>
      </c>
      <c r="C741" s="7">
        <v>1199.9000000000001</v>
      </c>
      <c r="D741" s="8" t="s">
        <v>4543</v>
      </c>
      <c r="E741" s="8" t="s">
        <v>4544</v>
      </c>
      <c r="F741" s="8" t="s">
        <v>4545</v>
      </c>
      <c r="G741" s="6" t="s">
        <v>132</v>
      </c>
      <c r="H741" s="6" t="s">
        <v>99</v>
      </c>
      <c r="I741" s="8"/>
      <c r="J741" s="9">
        <v>4</v>
      </c>
      <c r="K741" s="9">
        <v>816</v>
      </c>
      <c r="L741" s="9">
        <v>2014</v>
      </c>
      <c r="M741" s="8" t="s">
        <v>4546</v>
      </c>
      <c r="N741" s="8" t="s">
        <v>42</v>
      </c>
      <c r="O741" s="8" t="s">
        <v>101</v>
      </c>
      <c r="P741" s="6" t="s">
        <v>268</v>
      </c>
      <c r="Q741" s="8" t="s">
        <v>45</v>
      </c>
      <c r="R741" s="10" t="s">
        <v>4540</v>
      </c>
      <c r="S741" s="11"/>
      <c r="T741" s="6"/>
      <c r="U741" s="24" t="str">
        <f>HYPERLINK("https://media.infra-m.ru/0459/0459415/cover/459415.jpg", "Обложка")</f>
        <v>Обложка</v>
      </c>
      <c r="V741" s="24" t="str">
        <f>HYPERLINK("https://znanium.ru/catalog/product/1973510", "Ознакомиться")</f>
        <v>Ознакомиться</v>
      </c>
      <c r="W741" s="8" t="s">
        <v>4547</v>
      </c>
      <c r="X741" s="6"/>
      <c r="Y741" s="6" t="s">
        <v>30</v>
      </c>
      <c r="Z741" s="6"/>
      <c r="AA741" s="6" t="s">
        <v>4548</v>
      </c>
      <c r="AB741" s="8"/>
    </row>
    <row r="742" spans="1:28" s="4" customFormat="1" ht="42" customHeight="1">
      <c r="A742" s="5">
        <v>0</v>
      </c>
      <c r="B742" s="6" t="s">
        <v>4549</v>
      </c>
      <c r="C742" s="7">
        <v>3108</v>
      </c>
      <c r="D742" s="8" t="s">
        <v>4550</v>
      </c>
      <c r="E742" s="8" t="s">
        <v>4551</v>
      </c>
      <c r="F742" s="8" t="s">
        <v>4552</v>
      </c>
      <c r="G742" s="6" t="s">
        <v>38</v>
      </c>
      <c r="H742" s="6" t="s">
        <v>182</v>
      </c>
      <c r="I742" s="8"/>
      <c r="J742" s="9">
        <v>1</v>
      </c>
      <c r="K742" s="9">
        <v>510</v>
      </c>
      <c r="L742" s="9">
        <v>2025</v>
      </c>
      <c r="M742" s="8" t="s">
        <v>4553</v>
      </c>
      <c r="N742" s="8" t="s">
        <v>42</v>
      </c>
      <c r="O742" s="8" t="s">
        <v>101</v>
      </c>
      <c r="P742" s="6" t="s">
        <v>268</v>
      </c>
      <c r="Q742" s="8" t="s">
        <v>45</v>
      </c>
      <c r="R742" s="10" t="s">
        <v>4554</v>
      </c>
      <c r="S742" s="11"/>
      <c r="T742" s="6"/>
      <c r="U742" s="24" t="str">
        <f>HYPERLINK("https://media.infra-m.ru/2187/2187248/cover/2187248.jpg", "Обложка")</f>
        <v>Обложка</v>
      </c>
      <c r="V742" s="24" t="str">
        <f>HYPERLINK("https://znanium.ru/catalog/product/2187248", "Ознакомиться")</f>
        <v>Ознакомиться</v>
      </c>
      <c r="W742" s="8" t="s">
        <v>2138</v>
      </c>
      <c r="X742" s="6" t="s">
        <v>320</v>
      </c>
      <c r="Y742" s="6"/>
      <c r="Z742" s="6"/>
      <c r="AA742" s="6" t="s">
        <v>4555</v>
      </c>
      <c r="AB742" s="8"/>
    </row>
    <row r="743" spans="1:28" s="4" customFormat="1" ht="42" customHeight="1">
      <c r="A743" s="5">
        <v>0</v>
      </c>
      <c r="B743" s="6" t="s">
        <v>4556</v>
      </c>
      <c r="C743" s="13">
        <v>635.9</v>
      </c>
      <c r="D743" s="8" t="s">
        <v>4557</v>
      </c>
      <c r="E743" s="8" t="s">
        <v>4558</v>
      </c>
      <c r="F743" s="8" t="s">
        <v>4559</v>
      </c>
      <c r="G743" s="6" t="s">
        <v>26</v>
      </c>
      <c r="H743" s="6" t="s">
        <v>182</v>
      </c>
      <c r="I743" s="8"/>
      <c r="J743" s="9">
        <v>40</v>
      </c>
      <c r="K743" s="9">
        <v>440</v>
      </c>
      <c r="L743" s="9">
        <v>2014</v>
      </c>
      <c r="M743" s="8" t="s">
        <v>4560</v>
      </c>
      <c r="N743" s="8" t="s">
        <v>42</v>
      </c>
      <c r="O743" s="8" t="s">
        <v>101</v>
      </c>
      <c r="P743" s="6" t="s">
        <v>268</v>
      </c>
      <c r="Q743" s="8" t="s">
        <v>45</v>
      </c>
      <c r="R743" s="10" t="s">
        <v>4554</v>
      </c>
      <c r="S743" s="11"/>
      <c r="T743" s="6"/>
      <c r="U743" s="24" t="str">
        <f>HYPERLINK("https://media.infra-m.ru/0423/0423658/cover/423658.jpg", "Обложка")</f>
        <v>Обложка</v>
      </c>
      <c r="V743" s="24" t="str">
        <f>HYPERLINK("https://znanium.ru/catalog/product/2187248", "Ознакомиться")</f>
        <v>Ознакомиться</v>
      </c>
      <c r="W743" s="8" t="s">
        <v>2138</v>
      </c>
      <c r="X743" s="6"/>
      <c r="Y743" s="6"/>
      <c r="Z743" s="6"/>
      <c r="AA743" s="6" t="s">
        <v>2288</v>
      </c>
      <c r="AB743" s="8"/>
    </row>
    <row r="744" spans="1:28" s="4" customFormat="1" ht="42" customHeight="1">
      <c r="A744" s="5">
        <v>0</v>
      </c>
      <c r="B744" s="6" t="s">
        <v>4561</v>
      </c>
      <c r="C744" s="7">
        <v>2748</v>
      </c>
      <c r="D744" s="8" t="s">
        <v>4562</v>
      </c>
      <c r="E744" s="8" t="s">
        <v>4563</v>
      </c>
      <c r="F744" s="8" t="s">
        <v>4552</v>
      </c>
      <c r="G744" s="6" t="s">
        <v>38</v>
      </c>
      <c r="H744" s="6" t="s">
        <v>182</v>
      </c>
      <c r="I744" s="8"/>
      <c r="J744" s="9">
        <v>1</v>
      </c>
      <c r="K744" s="9">
        <v>487</v>
      </c>
      <c r="L744" s="9">
        <v>2024</v>
      </c>
      <c r="M744" s="8" t="s">
        <v>4564</v>
      </c>
      <c r="N744" s="8" t="s">
        <v>42</v>
      </c>
      <c r="O744" s="8" t="s">
        <v>101</v>
      </c>
      <c r="P744" s="6" t="s">
        <v>268</v>
      </c>
      <c r="Q744" s="8" t="s">
        <v>45</v>
      </c>
      <c r="R744" s="10" t="s">
        <v>4554</v>
      </c>
      <c r="S744" s="11"/>
      <c r="T744" s="6"/>
      <c r="U744" s="24" t="str">
        <f>HYPERLINK("https://media.infra-m.ru/2125/2125556/cover/2125556.jpg", "Обложка")</f>
        <v>Обложка</v>
      </c>
      <c r="V744" s="24" t="str">
        <f>HYPERLINK("https://znanium.ru/catalog/product/2187248", "Ознакомиться")</f>
        <v>Ознакомиться</v>
      </c>
      <c r="W744" s="8" t="s">
        <v>2138</v>
      </c>
      <c r="X744" s="6"/>
      <c r="Y744" s="6"/>
      <c r="Z744" s="6"/>
      <c r="AA744" s="6" t="s">
        <v>4565</v>
      </c>
      <c r="AB744" s="8"/>
    </row>
    <row r="745" spans="1:28" s="4" customFormat="1" ht="42" customHeight="1">
      <c r="A745" s="5">
        <v>0</v>
      </c>
      <c r="B745" s="6" t="s">
        <v>4566</v>
      </c>
      <c r="C745" s="7">
        <v>2256</v>
      </c>
      <c r="D745" s="8" t="s">
        <v>4567</v>
      </c>
      <c r="E745" s="8" t="s">
        <v>4568</v>
      </c>
      <c r="F745" s="8" t="s">
        <v>4552</v>
      </c>
      <c r="G745" s="6" t="s">
        <v>38</v>
      </c>
      <c r="H745" s="6" t="s">
        <v>182</v>
      </c>
      <c r="I745" s="8"/>
      <c r="J745" s="9">
        <v>1</v>
      </c>
      <c r="K745" s="9">
        <v>477</v>
      </c>
      <c r="L745" s="9">
        <v>2023</v>
      </c>
      <c r="M745" s="8" t="s">
        <v>4569</v>
      </c>
      <c r="N745" s="8" t="s">
        <v>42</v>
      </c>
      <c r="O745" s="8" t="s">
        <v>101</v>
      </c>
      <c r="P745" s="6" t="s">
        <v>268</v>
      </c>
      <c r="Q745" s="8" t="s">
        <v>45</v>
      </c>
      <c r="R745" s="10" t="s">
        <v>4554</v>
      </c>
      <c r="S745" s="11"/>
      <c r="T745" s="6"/>
      <c r="U745" s="24" t="str">
        <f>HYPERLINK("https://media.infra-m.ru/1964/1964162/cover/1964162.jpg", "Обложка")</f>
        <v>Обложка</v>
      </c>
      <c r="V745" s="24" t="str">
        <f>HYPERLINK("https://znanium.ru/catalog/product/2187248", "Ознакомиться")</f>
        <v>Ознакомиться</v>
      </c>
      <c r="W745" s="8" t="s">
        <v>2138</v>
      </c>
      <c r="X745" s="6"/>
      <c r="Y745" s="6"/>
      <c r="Z745" s="6"/>
      <c r="AA745" s="6" t="s">
        <v>4570</v>
      </c>
      <c r="AB745" s="8"/>
    </row>
    <row r="746" spans="1:28" s="4" customFormat="1" ht="42" customHeight="1">
      <c r="A746" s="5">
        <v>0</v>
      </c>
      <c r="B746" s="6" t="s">
        <v>4571</v>
      </c>
      <c r="C746" s="7">
        <v>1560</v>
      </c>
      <c r="D746" s="8" t="s">
        <v>4572</v>
      </c>
      <c r="E746" s="8" t="s">
        <v>4573</v>
      </c>
      <c r="F746" s="8" t="s">
        <v>4552</v>
      </c>
      <c r="G746" s="6" t="s">
        <v>38</v>
      </c>
      <c r="H746" s="6" t="s">
        <v>182</v>
      </c>
      <c r="I746" s="8"/>
      <c r="J746" s="9">
        <v>1</v>
      </c>
      <c r="K746" s="9">
        <v>412</v>
      </c>
      <c r="L746" s="9">
        <v>2019</v>
      </c>
      <c r="M746" s="8" t="s">
        <v>4574</v>
      </c>
      <c r="N746" s="8" t="s">
        <v>42</v>
      </c>
      <c r="O746" s="8" t="s">
        <v>101</v>
      </c>
      <c r="P746" s="6" t="s">
        <v>268</v>
      </c>
      <c r="Q746" s="8" t="s">
        <v>45</v>
      </c>
      <c r="R746" s="10" t="s">
        <v>4554</v>
      </c>
      <c r="S746" s="11"/>
      <c r="T746" s="6"/>
      <c r="U746" s="24" t="str">
        <f>HYPERLINK("https://media.infra-m.ru/1013/1013425/cover/1013425.jpg", "Обложка")</f>
        <v>Обложка</v>
      </c>
      <c r="V746" s="24" t="str">
        <f>HYPERLINK("https://znanium.ru/catalog/product/2187248", "Ознакомиться")</f>
        <v>Ознакомиться</v>
      </c>
      <c r="W746" s="8" t="s">
        <v>2138</v>
      </c>
      <c r="X746" s="6"/>
      <c r="Y746" s="6"/>
      <c r="Z746" s="6"/>
      <c r="AA746" s="6" t="s">
        <v>2055</v>
      </c>
      <c r="AB746" s="8"/>
    </row>
    <row r="747" spans="1:28" s="4" customFormat="1" ht="51.95" customHeight="1">
      <c r="A747" s="5">
        <v>0</v>
      </c>
      <c r="B747" s="6" t="s">
        <v>4575</v>
      </c>
      <c r="C747" s="7">
        <v>1456.8</v>
      </c>
      <c r="D747" s="8" t="s">
        <v>4576</v>
      </c>
      <c r="E747" s="8" t="s">
        <v>4577</v>
      </c>
      <c r="F747" s="8" t="s">
        <v>4578</v>
      </c>
      <c r="G747" s="6" t="s">
        <v>81</v>
      </c>
      <c r="H747" s="6" t="s">
        <v>39</v>
      </c>
      <c r="I747" s="8" t="s">
        <v>336</v>
      </c>
      <c r="J747" s="9">
        <v>1</v>
      </c>
      <c r="K747" s="9">
        <v>368</v>
      </c>
      <c r="L747" s="9">
        <v>2024</v>
      </c>
      <c r="M747" s="8" t="s">
        <v>4579</v>
      </c>
      <c r="N747" s="8" t="s">
        <v>42</v>
      </c>
      <c r="O747" s="8" t="s">
        <v>101</v>
      </c>
      <c r="P747" s="6" t="s">
        <v>268</v>
      </c>
      <c r="Q747" s="8" t="s">
        <v>3884</v>
      </c>
      <c r="R747" s="10" t="s">
        <v>4580</v>
      </c>
      <c r="S747" s="11"/>
      <c r="T747" s="6"/>
      <c r="U747" s="24" t="str">
        <f>HYPERLINK("https://media.infra-m.ru/2211/2211640/cover/2211640.jpg", "Обложка")</f>
        <v>Обложка</v>
      </c>
      <c r="V747" s="24" t="str">
        <f>HYPERLINK("https://znanium.ru/catalog/product/2131408", "Ознакомиться")</f>
        <v>Ознакомиться</v>
      </c>
      <c r="W747" s="8" t="s">
        <v>103</v>
      </c>
      <c r="X747" s="6"/>
      <c r="Y747" s="6"/>
      <c r="Z747" s="6"/>
      <c r="AA747" s="6" t="s">
        <v>199</v>
      </c>
      <c r="AB747" s="8"/>
    </row>
    <row r="748" spans="1:28" s="4" customFormat="1" ht="51.95" customHeight="1">
      <c r="A748" s="5">
        <v>0</v>
      </c>
      <c r="B748" s="6" t="s">
        <v>4581</v>
      </c>
      <c r="C748" s="7">
        <v>2868</v>
      </c>
      <c r="D748" s="8" t="s">
        <v>4582</v>
      </c>
      <c r="E748" s="8" t="s">
        <v>4583</v>
      </c>
      <c r="F748" s="8" t="s">
        <v>4584</v>
      </c>
      <c r="G748" s="6" t="s">
        <v>38</v>
      </c>
      <c r="H748" s="6" t="s">
        <v>182</v>
      </c>
      <c r="I748" s="8"/>
      <c r="J748" s="9">
        <v>1</v>
      </c>
      <c r="K748" s="9">
        <v>686</v>
      </c>
      <c r="L748" s="9">
        <v>2022</v>
      </c>
      <c r="M748" s="8" t="s">
        <v>4585</v>
      </c>
      <c r="N748" s="8" t="s">
        <v>42</v>
      </c>
      <c r="O748" s="8" t="s">
        <v>101</v>
      </c>
      <c r="P748" s="6" t="s">
        <v>268</v>
      </c>
      <c r="Q748" s="8" t="s">
        <v>45</v>
      </c>
      <c r="R748" s="10" t="s">
        <v>4586</v>
      </c>
      <c r="S748" s="11"/>
      <c r="T748" s="6" t="s">
        <v>1080</v>
      </c>
      <c r="U748" s="24" t="str">
        <f>HYPERLINK("https://media.infra-m.ru/1839/1839926/cover/1839926.jpg", "Обложка")</f>
        <v>Обложка</v>
      </c>
      <c r="V748" s="24" t="str">
        <f>HYPERLINK("https://znanium.ru/catalog/product/2165054", "Ознакомиться")</f>
        <v>Ознакомиться</v>
      </c>
      <c r="W748" s="8" t="s">
        <v>565</v>
      </c>
      <c r="X748" s="6"/>
      <c r="Y748" s="6"/>
      <c r="Z748" s="6"/>
      <c r="AA748" s="6" t="s">
        <v>4587</v>
      </c>
      <c r="AB748" s="8"/>
    </row>
    <row r="749" spans="1:28" s="4" customFormat="1" ht="51.95" customHeight="1">
      <c r="A749" s="5">
        <v>0</v>
      </c>
      <c r="B749" s="6" t="s">
        <v>4588</v>
      </c>
      <c r="C749" s="7">
        <v>3588</v>
      </c>
      <c r="D749" s="8" t="s">
        <v>4589</v>
      </c>
      <c r="E749" s="8" t="s">
        <v>4590</v>
      </c>
      <c r="F749" s="8" t="s">
        <v>4584</v>
      </c>
      <c r="G749" s="6" t="s">
        <v>38</v>
      </c>
      <c r="H749" s="6" t="s">
        <v>182</v>
      </c>
      <c r="I749" s="8" t="s">
        <v>268</v>
      </c>
      <c r="J749" s="9">
        <v>1</v>
      </c>
      <c r="K749" s="9">
        <v>749</v>
      </c>
      <c r="L749" s="9">
        <v>2023</v>
      </c>
      <c r="M749" s="8" t="s">
        <v>4591</v>
      </c>
      <c r="N749" s="8" t="s">
        <v>42</v>
      </c>
      <c r="O749" s="8" t="s">
        <v>101</v>
      </c>
      <c r="P749" s="6" t="s">
        <v>268</v>
      </c>
      <c r="Q749" s="8" t="s">
        <v>45</v>
      </c>
      <c r="R749" s="10" t="s">
        <v>4586</v>
      </c>
      <c r="S749" s="11"/>
      <c r="T749" s="6" t="s">
        <v>1080</v>
      </c>
      <c r="U749" s="24" t="str">
        <f>HYPERLINK("https://media.infra-m.ru/2117/2117550/cover/2117550.jpg", "Обложка")</f>
        <v>Обложка</v>
      </c>
      <c r="V749" s="24" t="str">
        <f>HYPERLINK("https://znanium.ru/catalog/product/2165054", "Ознакомиться")</f>
        <v>Ознакомиться</v>
      </c>
      <c r="W749" s="8" t="s">
        <v>565</v>
      </c>
      <c r="X749" s="6"/>
      <c r="Y749" s="6"/>
      <c r="Z749" s="6"/>
      <c r="AA749" s="6" t="s">
        <v>4592</v>
      </c>
      <c r="AB749" s="8"/>
    </row>
    <row r="750" spans="1:28" s="4" customFormat="1" ht="51.95" customHeight="1">
      <c r="A750" s="5">
        <v>0</v>
      </c>
      <c r="B750" s="6" t="s">
        <v>4593</v>
      </c>
      <c r="C750" s="7">
        <v>2376</v>
      </c>
      <c r="D750" s="8" t="s">
        <v>4594</v>
      </c>
      <c r="E750" s="8" t="s">
        <v>4595</v>
      </c>
      <c r="F750" s="8" t="s">
        <v>4584</v>
      </c>
      <c r="G750" s="6" t="s">
        <v>38</v>
      </c>
      <c r="H750" s="6" t="s">
        <v>182</v>
      </c>
      <c r="I750" s="8"/>
      <c r="J750" s="9">
        <v>1</v>
      </c>
      <c r="K750" s="9">
        <v>580</v>
      </c>
      <c r="L750" s="9">
        <v>2020</v>
      </c>
      <c r="M750" s="8" t="s">
        <v>4596</v>
      </c>
      <c r="N750" s="8" t="s">
        <v>42</v>
      </c>
      <c r="O750" s="8" t="s">
        <v>101</v>
      </c>
      <c r="P750" s="6" t="s">
        <v>268</v>
      </c>
      <c r="Q750" s="8" t="s">
        <v>45</v>
      </c>
      <c r="R750" s="10" t="s">
        <v>4586</v>
      </c>
      <c r="S750" s="11"/>
      <c r="T750" s="6" t="s">
        <v>1080</v>
      </c>
      <c r="U750" s="24" t="str">
        <f>HYPERLINK("https://media.infra-m.ru/1216/1216925/cover/1216925.jpg", "Обложка")</f>
        <v>Обложка</v>
      </c>
      <c r="V750" s="24" t="str">
        <f>HYPERLINK("https://znanium.ru/catalog/product/2165054", "Ознакомиться")</f>
        <v>Ознакомиться</v>
      </c>
      <c r="W750" s="8" t="s">
        <v>565</v>
      </c>
      <c r="X750" s="6"/>
      <c r="Y750" s="6"/>
      <c r="Z750" s="6"/>
      <c r="AA750" s="6" t="s">
        <v>4597</v>
      </c>
      <c r="AB750" s="8"/>
    </row>
    <row r="751" spans="1:28" s="4" customFormat="1" ht="51.95" customHeight="1">
      <c r="A751" s="5">
        <v>0</v>
      </c>
      <c r="B751" s="6" t="s">
        <v>4598</v>
      </c>
      <c r="C751" s="7">
        <v>2508</v>
      </c>
      <c r="D751" s="8" t="s">
        <v>4599</v>
      </c>
      <c r="E751" s="8" t="s">
        <v>4600</v>
      </c>
      <c r="F751" s="8" t="s">
        <v>4584</v>
      </c>
      <c r="G751" s="6" t="s">
        <v>38</v>
      </c>
      <c r="H751" s="6" t="s">
        <v>182</v>
      </c>
      <c r="I751" s="8"/>
      <c r="J751" s="9">
        <v>1</v>
      </c>
      <c r="K751" s="9">
        <v>605</v>
      </c>
      <c r="L751" s="9">
        <v>2021</v>
      </c>
      <c r="M751" s="8" t="s">
        <v>4601</v>
      </c>
      <c r="N751" s="8" t="s">
        <v>42</v>
      </c>
      <c r="O751" s="8" t="s">
        <v>101</v>
      </c>
      <c r="P751" s="6" t="s">
        <v>268</v>
      </c>
      <c r="Q751" s="8" t="s">
        <v>45</v>
      </c>
      <c r="R751" s="10" t="s">
        <v>4586</v>
      </c>
      <c r="S751" s="11"/>
      <c r="T751" s="6" t="s">
        <v>1080</v>
      </c>
      <c r="U751" s="24" t="str">
        <f>HYPERLINK("https://media.infra-m.ru/1248/1248077/cover/1248077.jpg", "Обложка")</f>
        <v>Обложка</v>
      </c>
      <c r="V751" s="24" t="str">
        <f>HYPERLINK("https://znanium.ru/catalog/product/2165054", "Ознакомиться")</f>
        <v>Ознакомиться</v>
      </c>
      <c r="W751" s="8" t="s">
        <v>565</v>
      </c>
      <c r="X751" s="6"/>
      <c r="Y751" s="6"/>
      <c r="Z751" s="6"/>
      <c r="AA751" s="6" t="s">
        <v>4602</v>
      </c>
      <c r="AB751" s="8"/>
    </row>
    <row r="752" spans="1:28" s="4" customFormat="1" ht="51.95" customHeight="1">
      <c r="A752" s="5">
        <v>0</v>
      </c>
      <c r="B752" s="6" t="s">
        <v>4603</v>
      </c>
      <c r="C752" s="7">
        <v>2028</v>
      </c>
      <c r="D752" s="8" t="s">
        <v>4604</v>
      </c>
      <c r="E752" s="8" t="s">
        <v>4605</v>
      </c>
      <c r="F752" s="8" t="s">
        <v>4584</v>
      </c>
      <c r="G752" s="6" t="s">
        <v>38</v>
      </c>
      <c r="H752" s="6" t="s">
        <v>182</v>
      </c>
      <c r="I752" s="8"/>
      <c r="J752" s="9">
        <v>1</v>
      </c>
      <c r="K752" s="9">
        <v>566</v>
      </c>
      <c r="L752" s="9">
        <v>2019</v>
      </c>
      <c r="M752" s="8" t="s">
        <v>4606</v>
      </c>
      <c r="N752" s="8" t="s">
        <v>42</v>
      </c>
      <c r="O752" s="8" t="s">
        <v>101</v>
      </c>
      <c r="P752" s="6" t="s">
        <v>268</v>
      </c>
      <c r="Q752" s="8" t="s">
        <v>45</v>
      </c>
      <c r="R752" s="10" t="s">
        <v>4586</v>
      </c>
      <c r="S752" s="11"/>
      <c r="T752" s="6" t="s">
        <v>1080</v>
      </c>
      <c r="U752" s="24" t="str">
        <f>HYPERLINK("https://media.infra-m.ru/1077/1077363/cover/1077363.jpg", "Обложка")</f>
        <v>Обложка</v>
      </c>
      <c r="V752" s="24" t="str">
        <f>HYPERLINK("https://znanium.ru/catalog/product/2165054", "Ознакомиться")</f>
        <v>Ознакомиться</v>
      </c>
      <c r="W752" s="8" t="s">
        <v>565</v>
      </c>
      <c r="X752" s="6"/>
      <c r="Y752" s="6"/>
      <c r="Z752" s="6"/>
      <c r="AA752" s="6" t="s">
        <v>4607</v>
      </c>
      <c r="AB752" s="8"/>
    </row>
    <row r="753" spans="1:28" s="4" customFormat="1" ht="51.95" customHeight="1">
      <c r="A753" s="5">
        <v>0</v>
      </c>
      <c r="B753" s="6" t="s">
        <v>4608</v>
      </c>
      <c r="C753" s="7">
        <v>3828</v>
      </c>
      <c r="D753" s="8" t="s">
        <v>4609</v>
      </c>
      <c r="E753" s="8" t="s">
        <v>4610</v>
      </c>
      <c r="F753" s="8" t="s">
        <v>4584</v>
      </c>
      <c r="G753" s="6" t="s">
        <v>38</v>
      </c>
      <c r="H753" s="6" t="s">
        <v>182</v>
      </c>
      <c r="I753" s="8" t="s">
        <v>268</v>
      </c>
      <c r="J753" s="9">
        <v>1</v>
      </c>
      <c r="K753" s="9">
        <v>776</v>
      </c>
      <c r="L753" s="9">
        <v>2024</v>
      </c>
      <c r="M753" s="8" t="s">
        <v>4611</v>
      </c>
      <c r="N753" s="8" t="s">
        <v>42</v>
      </c>
      <c r="O753" s="8" t="s">
        <v>101</v>
      </c>
      <c r="P753" s="6" t="s">
        <v>268</v>
      </c>
      <c r="Q753" s="8" t="s">
        <v>45</v>
      </c>
      <c r="R753" s="10" t="s">
        <v>4586</v>
      </c>
      <c r="S753" s="11"/>
      <c r="T753" s="6" t="s">
        <v>1080</v>
      </c>
      <c r="U753" s="24" t="str">
        <f>HYPERLINK("https://media.infra-m.ru/2165/2165054/cover/2165054.jpg", "Обложка")</f>
        <v>Обложка</v>
      </c>
      <c r="V753" s="24" t="str">
        <f>HYPERLINK("https://znanium.ru/catalog/product/2165054", "Ознакомиться")</f>
        <v>Ознакомиться</v>
      </c>
      <c r="W753" s="8" t="s">
        <v>565</v>
      </c>
      <c r="X753" s="6"/>
      <c r="Y753" s="6"/>
      <c r="Z753" s="6"/>
      <c r="AA753" s="6" t="s">
        <v>4612</v>
      </c>
      <c r="AB753" s="8"/>
    </row>
    <row r="754" spans="1:28" s="4" customFormat="1" ht="51.95" customHeight="1">
      <c r="A754" s="5">
        <v>0</v>
      </c>
      <c r="B754" s="6" t="s">
        <v>4613</v>
      </c>
      <c r="C754" s="7">
        <v>1140</v>
      </c>
      <c r="D754" s="8" t="s">
        <v>4614</v>
      </c>
      <c r="E754" s="8" t="s">
        <v>4615</v>
      </c>
      <c r="F754" s="8" t="s">
        <v>4584</v>
      </c>
      <c r="G754" s="6" t="s">
        <v>38</v>
      </c>
      <c r="H754" s="6" t="s">
        <v>182</v>
      </c>
      <c r="I754" s="8"/>
      <c r="J754" s="9">
        <v>1</v>
      </c>
      <c r="K754" s="9">
        <v>538</v>
      </c>
      <c r="L754" s="9">
        <v>2017</v>
      </c>
      <c r="M754" s="8" t="s">
        <v>4616</v>
      </c>
      <c r="N754" s="8" t="s">
        <v>42</v>
      </c>
      <c r="O754" s="8" t="s">
        <v>101</v>
      </c>
      <c r="P754" s="6" t="s">
        <v>268</v>
      </c>
      <c r="Q754" s="8" t="s">
        <v>45</v>
      </c>
      <c r="R754" s="10" t="s">
        <v>4586</v>
      </c>
      <c r="S754" s="11"/>
      <c r="T754" s="6" t="s">
        <v>1080</v>
      </c>
      <c r="U754" s="24" t="str">
        <f>HYPERLINK("https://media.infra-m.ru/0951/0951721/cover/951721.jpg", "Обложка")</f>
        <v>Обложка</v>
      </c>
      <c r="V754" s="24" t="str">
        <f>HYPERLINK("https://znanium.ru/catalog/product/2165054", "Ознакомиться")</f>
        <v>Ознакомиться</v>
      </c>
      <c r="W754" s="8" t="s">
        <v>565</v>
      </c>
      <c r="X754" s="6"/>
      <c r="Y754" s="6"/>
      <c r="Z754" s="6"/>
      <c r="AA754" s="6" t="s">
        <v>4617</v>
      </c>
      <c r="AB754" s="8"/>
    </row>
    <row r="755" spans="1:28" s="4" customFormat="1" ht="51.95" customHeight="1">
      <c r="A755" s="5">
        <v>0</v>
      </c>
      <c r="B755" s="6" t="s">
        <v>4618</v>
      </c>
      <c r="C755" s="7">
        <v>1800</v>
      </c>
      <c r="D755" s="8" t="s">
        <v>4619</v>
      </c>
      <c r="E755" s="8" t="s">
        <v>4620</v>
      </c>
      <c r="F755" s="8" t="s">
        <v>4584</v>
      </c>
      <c r="G755" s="6" t="s">
        <v>38</v>
      </c>
      <c r="H755" s="6" t="s">
        <v>182</v>
      </c>
      <c r="I755" s="8"/>
      <c r="J755" s="9">
        <v>1</v>
      </c>
      <c r="K755" s="9">
        <v>556</v>
      </c>
      <c r="L755" s="9">
        <v>2018</v>
      </c>
      <c r="M755" s="8" t="s">
        <v>4621</v>
      </c>
      <c r="N755" s="8" t="s">
        <v>42</v>
      </c>
      <c r="O755" s="8" t="s">
        <v>101</v>
      </c>
      <c r="P755" s="6" t="s">
        <v>268</v>
      </c>
      <c r="Q755" s="8" t="s">
        <v>45</v>
      </c>
      <c r="R755" s="10" t="s">
        <v>4586</v>
      </c>
      <c r="S755" s="11"/>
      <c r="T755" s="6" t="s">
        <v>1080</v>
      </c>
      <c r="U755" s="24" t="str">
        <f>HYPERLINK("https://media.infra-m.ru/0967/0967316/cover/967316.jpg", "Обложка")</f>
        <v>Обложка</v>
      </c>
      <c r="V755" s="24" t="str">
        <f>HYPERLINK("https://znanium.ru/catalog/product/2165054", "Ознакомиться")</f>
        <v>Ознакомиться</v>
      </c>
      <c r="W755" s="8" t="s">
        <v>565</v>
      </c>
      <c r="X755" s="6"/>
      <c r="Y755" s="6"/>
      <c r="Z755" s="6"/>
      <c r="AA755" s="6" t="s">
        <v>4622</v>
      </c>
      <c r="AB755" s="8"/>
    </row>
    <row r="756" spans="1:28" s="4" customFormat="1" ht="51.95" customHeight="1">
      <c r="A756" s="5">
        <v>0</v>
      </c>
      <c r="B756" s="6" t="s">
        <v>4623</v>
      </c>
      <c r="C756" s="13">
        <v>839.9</v>
      </c>
      <c r="D756" s="8" t="s">
        <v>4624</v>
      </c>
      <c r="E756" s="8" t="s">
        <v>4625</v>
      </c>
      <c r="F756" s="8" t="s">
        <v>4537</v>
      </c>
      <c r="G756" s="6" t="s">
        <v>132</v>
      </c>
      <c r="H756" s="6" t="s">
        <v>99</v>
      </c>
      <c r="I756" s="8" t="s">
        <v>4538</v>
      </c>
      <c r="J756" s="9">
        <v>1</v>
      </c>
      <c r="K756" s="9">
        <v>606</v>
      </c>
      <c r="L756" s="9">
        <v>2014</v>
      </c>
      <c r="M756" s="8" t="s">
        <v>4626</v>
      </c>
      <c r="N756" s="8" t="s">
        <v>42</v>
      </c>
      <c r="O756" s="8" t="s">
        <v>101</v>
      </c>
      <c r="P756" s="6" t="s">
        <v>268</v>
      </c>
      <c r="Q756" s="8" t="s">
        <v>45</v>
      </c>
      <c r="R756" s="10" t="s">
        <v>4627</v>
      </c>
      <c r="S756" s="11"/>
      <c r="T756" s="6"/>
      <c r="U756" s="24" t="str">
        <f>HYPERLINK("https://media.infra-m.ru/0462/0462621/cover/462621.jpg", "Обложка")</f>
        <v>Обложка</v>
      </c>
      <c r="V756" s="24" t="str">
        <f>HYPERLINK("https://znanium.ru/catalog/product/2064556", "Ознакомиться")</f>
        <v>Ознакомиться</v>
      </c>
      <c r="W756" s="8" t="s">
        <v>2281</v>
      </c>
      <c r="X756" s="6"/>
      <c r="Y756" s="6" t="s">
        <v>30</v>
      </c>
      <c r="Z756" s="6"/>
      <c r="AA756" s="6" t="s">
        <v>2288</v>
      </c>
      <c r="AB756" s="8"/>
    </row>
    <row r="757" spans="1:28" s="4" customFormat="1" ht="51.95" customHeight="1">
      <c r="A757" s="5">
        <v>0</v>
      </c>
      <c r="B757" s="6" t="s">
        <v>4628</v>
      </c>
      <c r="C757" s="7">
        <v>3960</v>
      </c>
      <c r="D757" s="8" t="s">
        <v>4629</v>
      </c>
      <c r="E757" s="8" t="s">
        <v>4630</v>
      </c>
      <c r="F757" s="8" t="s">
        <v>4631</v>
      </c>
      <c r="G757" s="6" t="s">
        <v>132</v>
      </c>
      <c r="H757" s="6" t="s">
        <v>99</v>
      </c>
      <c r="I757" s="8" t="s">
        <v>4538</v>
      </c>
      <c r="J757" s="9">
        <v>1</v>
      </c>
      <c r="K757" s="9">
        <v>760</v>
      </c>
      <c r="L757" s="9">
        <v>2025</v>
      </c>
      <c r="M757" s="8" t="s">
        <v>4632</v>
      </c>
      <c r="N757" s="8" t="s">
        <v>42</v>
      </c>
      <c r="O757" s="8" t="s">
        <v>101</v>
      </c>
      <c r="P757" s="6" t="s">
        <v>268</v>
      </c>
      <c r="Q757" s="8" t="s">
        <v>45</v>
      </c>
      <c r="R757" s="10" t="s">
        <v>4627</v>
      </c>
      <c r="S757" s="11"/>
      <c r="T757" s="6"/>
      <c r="U757" s="24" t="str">
        <f>HYPERLINK("https://media.infra-m.ru/2179/2179208/cover/2179208.jpg", "Обложка")</f>
        <v>Обложка</v>
      </c>
      <c r="V757" s="24" t="str">
        <f>HYPERLINK("https://znanium.ru/catalog/product/2064556", "Ознакомиться")</f>
        <v>Ознакомиться</v>
      </c>
      <c r="W757" s="8" t="s">
        <v>2281</v>
      </c>
      <c r="X757" s="6"/>
      <c r="Y757" s="6" t="s">
        <v>30</v>
      </c>
      <c r="Z757" s="6"/>
      <c r="AA757" s="6" t="s">
        <v>4633</v>
      </c>
      <c r="AB757" s="8"/>
    </row>
    <row r="758" spans="1:28" s="4" customFormat="1" ht="42" customHeight="1">
      <c r="A758" s="5">
        <v>0</v>
      </c>
      <c r="B758" s="6" t="s">
        <v>4634</v>
      </c>
      <c r="C758" s="7">
        <v>3472.8</v>
      </c>
      <c r="D758" s="8" t="s">
        <v>4635</v>
      </c>
      <c r="E758" s="8" t="s">
        <v>4636</v>
      </c>
      <c r="F758" s="8" t="s">
        <v>4637</v>
      </c>
      <c r="G758" s="6" t="s">
        <v>81</v>
      </c>
      <c r="H758" s="6" t="s">
        <v>99</v>
      </c>
      <c r="I758" s="8" t="s">
        <v>4538</v>
      </c>
      <c r="J758" s="9">
        <v>1</v>
      </c>
      <c r="K758" s="9">
        <v>752</v>
      </c>
      <c r="L758" s="9">
        <v>2024</v>
      </c>
      <c r="M758" s="8" t="s">
        <v>4638</v>
      </c>
      <c r="N758" s="8" t="s">
        <v>42</v>
      </c>
      <c r="O758" s="8" t="s">
        <v>101</v>
      </c>
      <c r="P758" s="6" t="s">
        <v>268</v>
      </c>
      <c r="Q758" s="8" t="s">
        <v>45</v>
      </c>
      <c r="R758" s="10" t="s">
        <v>874</v>
      </c>
      <c r="S758" s="11"/>
      <c r="T758" s="6"/>
      <c r="U758" s="24" t="str">
        <f>HYPERLINK("https://media.infra-m.ru/2063/2063442/cover/2063442.jpg", "Обложка")</f>
        <v>Обложка</v>
      </c>
      <c r="V758" s="24" t="str">
        <f>HYPERLINK("https://znanium.ru/catalog/product/1302340", "Ознакомиться")</f>
        <v>Ознакомиться</v>
      </c>
      <c r="W758" s="8" t="s">
        <v>418</v>
      </c>
      <c r="X758" s="6"/>
      <c r="Y758" s="6"/>
      <c r="Z758" s="6"/>
      <c r="AA758" s="6" t="s">
        <v>4639</v>
      </c>
      <c r="AB758" s="8"/>
    </row>
    <row r="759" spans="1:28" s="4" customFormat="1" ht="42" customHeight="1">
      <c r="A759" s="5">
        <v>0</v>
      </c>
      <c r="B759" s="6" t="s">
        <v>4640</v>
      </c>
      <c r="C759" s="7">
        <v>1079.9000000000001</v>
      </c>
      <c r="D759" s="8" t="s">
        <v>4641</v>
      </c>
      <c r="E759" s="8" t="s">
        <v>4642</v>
      </c>
      <c r="F759" s="8" t="s">
        <v>4637</v>
      </c>
      <c r="G759" s="6" t="s">
        <v>4307</v>
      </c>
      <c r="H759" s="6" t="s">
        <v>99</v>
      </c>
      <c r="I759" s="8" t="s">
        <v>4538</v>
      </c>
      <c r="J759" s="9">
        <v>6</v>
      </c>
      <c r="K759" s="9">
        <v>672</v>
      </c>
      <c r="L759" s="9">
        <v>2015</v>
      </c>
      <c r="M759" s="8" t="s">
        <v>4643</v>
      </c>
      <c r="N759" s="8" t="s">
        <v>42</v>
      </c>
      <c r="O759" s="8" t="s">
        <v>101</v>
      </c>
      <c r="P759" s="6" t="s">
        <v>268</v>
      </c>
      <c r="Q759" s="8" t="s">
        <v>45</v>
      </c>
      <c r="R759" s="10" t="s">
        <v>874</v>
      </c>
      <c r="S759" s="11"/>
      <c r="T759" s="6"/>
      <c r="U759" s="24" t="str">
        <f>HYPERLINK("https://media.infra-m.ru/0513/0513636/cover/513636.jpg", "Обложка")</f>
        <v>Обложка</v>
      </c>
      <c r="V759" s="24" t="str">
        <f>HYPERLINK("https://znanium.ru/catalog/product/1302340", "Ознакомиться")</f>
        <v>Ознакомиться</v>
      </c>
      <c r="W759" s="8" t="s">
        <v>418</v>
      </c>
      <c r="X759" s="6"/>
      <c r="Y759" s="6"/>
      <c r="Z759" s="6"/>
      <c r="AA759" s="6" t="s">
        <v>331</v>
      </c>
      <c r="AB759" s="8"/>
    </row>
    <row r="760" spans="1:28" s="4" customFormat="1" ht="51.95" customHeight="1">
      <c r="A760" s="5">
        <v>0</v>
      </c>
      <c r="B760" s="6" t="s">
        <v>4644</v>
      </c>
      <c r="C760" s="7">
        <v>3036</v>
      </c>
      <c r="D760" s="8" t="s">
        <v>4645</v>
      </c>
      <c r="E760" s="8" t="s">
        <v>4646</v>
      </c>
      <c r="F760" s="8" t="s">
        <v>4647</v>
      </c>
      <c r="G760" s="6" t="s">
        <v>132</v>
      </c>
      <c r="H760" s="6" t="s">
        <v>99</v>
      </c>
      <c r="I760" s="8"/>
      <c r="J760" s="9">
        <v>1</v>
      </c>
      <c r="K760" s="9">
        <v>488</v>
      </c>
      <c r="L760" s="9">
        <v>2026</v>
      </c>
      <c r="M760" s="8" t="s">
        <v>4648</v>
      </c>
      <c r="N760" s="8" t="s">
        <v>42</v>
      </c>
      <c r="O760" s="8" t="s">
        <v>101</v>
      </c>
      <c r="P760" s="6" t="s">
        <v>268</v>
      </c>
      <c r="Q760" s="8" t="s">
        <v>45</v>
      </c>
      <c r="R760" s="10" t="s">
        <v>4649</v>
      </c>
      <c r="S760" s="11"/>
      <c r="T760" s="6"/>
      <c r="U760" s="24" t="str">
        <f>HYPERLINK("https://media.infra-m.ru/2220/2220830/cover/2220830.jpg", "Обложка")</f>
        <v>Обложка</v>
      </c>
      <c r="V760" s="24" t="str">
        <f>HYPERLINK("https://znanium.ru/catalog/product/2220830", "Ознакомиться")</f>
        <v>Ознакомиться</v>
      </c>
      <c r="W760" s="8" t="s">
        <v>3188</v>
      </c>
      <c r="X760" s="6"/>
      <c r="Y760" s="6"/>
      <c r="Z760" s="6"/>
      <c r="AA760" s="6" t="s">
        <v>111</v>
      </c>
      <c r="AB760" s="8"/>
    </row>
    <row r="761" spans="1:28" s="4" customFormat="1" ht="51.95" customHeight="1">
      <c r="A761" s="5">
        <v>0</v>
      </c>
      <c r="B761" s="6" t="s">
        <v>4650</v>
      </c>
      <c r="C761" s="13">
        <v>492</v>
      </c>
      <c r="D761" s="8" t="s">
        <v>4651</v>
      </c>
      <c r="E761" s="8" t="s">
        <v>4652</v>
      </c>
      <c r="F761" s="8" t="s">
        <v>4653</v>
      </c>
      <c r="G761" s="6" t="s">
        <v>38</v>
      </c>
      <c r="H761" s="6" t="s">
        <v>39</v>
      </c>
      <c r="I761" s="8" t="s">
        <v>336</v>
      </c>
      <c r="J761" s="9">
        <v>1</v>
      </c>
      <c r="K761" s="9">
        <v>120</v>
      </c>
      <c r="L761" s="9">
        <v>2019</v>
      </c>
      <c r="M761" s="8" t="s">
        <v>4654</v>
      </c>
      <c r="N761" s="8" t="s">
        <v>42</v>
      </c>
      <c r="O761" s="8" t="s">
        <v>101</v>
      </c>
      <c r="P761" s="6" t="s">
        <v>268</v>
      </c>
      <c r="Q761" s="8" t="s">
        <v>45</v>
      </c>
      <c r="R761" s="10" t="s">
        <v>874</v>
      </c>
      <c r="S761" s="11"/>
      <c r="T761" s="6"/>
      <c r="U761" s="24" t="str">
        <f>HYPERLINK("https://media.infra-m.ru/1005/1005923/cover/1005923.jpg", "Обложка")</f>
        <v>Обложка</v>
      </c>
      <c r="V761" s="24" t="str">
        <f>HYPERLINK("https://znanium.ru/catalog/product/1005923", "Ознакомиться")</f>
        <v>Ознакомиться</v>
      </c>
      <c r="W761" s="8" t="s">
        <v>103</v>
      </c>
      <c r="X761" s="6"/>
      <c r="Y761" s="6"/>
      <c r="Z761" s="6"/>
      <c r="AA761" s="6" t="s">
        <v>369</v>
      </c>
      <c r="AB761" s="8"/>
    </row>
    <row r="762" spans="1:28" s="4" customFormat="1" ht="42" customHeight="1">
      <c r="A762" s="5">
        <v>0</v>
      </c>
      <c r="B762" s="6" t="s">
        <v>4655</v>
      </c>
      <c r="C762" s="7">
        <v>1008</v>
      </c>
      <c r="D762" s="8" t="s">
        <v>4656</v>
      </c>
      <c r="E762" s="8" t="s">
        <v>4657</v>
      </c>
      <c r="F762" s="8" t="s">
        <v>4658</v>
      </c>
      <c r="G762" s="6" t="s">
        <v>38</v>
      </c>
      <c r="H762" s="6" t="s">
        <v>39</v>
      </c>
      <c r="I762" s="8" t="s">
        <v>336</v>
      </c>
      <c r="J762" s="9">
        <v>1</v>
      </c>
      <c r="K762" s="9">
        <v>212</v>
      </c>
      <c r="L762" s="9">
        <v>2021</v>
      </c>
      <c r="M762" s="8" t="s">
        <v>4659</v>
      </c>
      <c r="N762" s="8" t="s">
        <v>42</v>
      </c>
      <c r="O762" s="8" t="s">
        <v>101</v>
      </c>
      <c r="P762" s="6" t="s">
        <v>268</v>
      </c>
      <c r="Q762" s="8" t="s">
        <v>45</v>
      </c>
      <c r="R762" s="10" t="s">
        <v>2946</v>
      </c>
      <c r="S762" s="11"/>
      <c r="T762" s="6"/>
      <c r="U762" s="24" t="str">
        <f>HYPERLINK("https://media.infra-m.ru/1195/1195494/cover/1195494.jpg", "Обложка")</f>
        <v>Обложка</v>
      </c>
      <c r="V762" s="24" t="str">
        <f>HYPERLINK("https://znanium.ru/catalog/product/1195494", "Ознакомиться")</f>
        <v>Ознакомиться</v>
      </c>
      <c r="W762" s="8" t="s">
        <v>1126</v>
      </c>
      <c r="X762" s="6"/>
      <c r="Y762" s="6"/>
      <c r="Z762" s="6"/>
      <c r="AA762" s="6" t="s">
        <v>369</v>
      </c>
      <c r="AB762" s="8"/>
    </row>
    <row r="763" spans="1:28" s="4" customFormat="1" ht="51.95" customHeight="1">
      <c r="A763" s="5">
        <v>0</v>
      </c>
      <c r="B763" s="6" t="s">
        <v>4660</v>
      </c>
      <c r="C763" s="13">
        <v>672</v>
      </c>
      <c r="D763" s="8" t="s">
        <v>4661</v>
      </c>
      <c r="E763" s="8" t="s">
        <v>4662</v>
      </c>
      <c r="F763" s="8" t="s">
        <v>4663</v>
      </c>
      <c r="G763" s="6" t="s">
        <v>38</v>
      </c>
      <c r="H763" s="6" t="s">
        <v>39</v>
      </c>
      <c r="I763" s="8" t="s">
        <v>336</v>
      </c>
      <c r="J763" s="9">
        <v>1</v>
      </c>
      <c r="K763" s="9">
        <v>184</v>
      </c>
      <c r="L763" s="9">
        <v>2019</v>
      </c>
      <c r="M763" s="8" t="s">
        <v>4664</v>
      </c>
      <c r="N763" s="8" t="s">
        <v>42</v>
      </c>
      <c r="O763" s="8" t="s">
        <v>101</v>
      </c>
      <c r="P763" s="6" t="s">
        <v>268</v>
      </c>
      <c r="Q763" s="8" t="s">
        <v>45</v>
      </c>
      <c r="R763" s="10" t="s">
        <v>4665</v>
      </c>
      <c r="S763" s="11"/>
      <c r="T763" s="6"/>
      <c r="U763" s="24" t="str">
        <f>HYPERLINK("https://media.infra-m.ru/1005/1005924/cover/1005924.jpg", "Обложка")</f>
        <v>Обложка</v>
      </c>
      <c r="V763" s="24" t="str">
        <f>HYPERLINK("https://znanium.ru/catalog/product/1005924", "Ознакомиться")</f>
        <v>Ознакомиться</v>
      </c>
      <c r="W763" s="8" t="s">
        <v>103</v>
      </c>
      <c r="X763" s="6"/>
      <c r="Y763" s="6"/>
      <c r="Z763" s="6"/>
      <c r="AA763" s="6" t="s">
        <v>339</v>
      </c>
      <c r="AB763" s="8"/>
    </row>
    <row r="764" spans="1:28" s="4" customFormat="1" ht="51.95" customHeight="1">
      <c r="A764" s="5">
        <v>0</v>
      </c>
      <c r="B764" s="6" t="s">
        <v>4666</v>
      </c>
      <c r="C764" s="7">
        <v>3072</v>
      </c>
      <c r="D764" s="8" t="s">
        <v>4667</v>
      </c>
      <c r="E764" s="8" t="s">
        <v>4668</v>
      </c>
      <c r="F764" s="8" t="s">
        <v>4669</v>
      </c>
      <c r="G764" s="6" t="s">
        <v>132</v>
      </c>
      <c r="H764" s="6" t="s">
        <v>571</v>
      </c>
      <c r="I764" s="8"/>
      <c r="J764" s="9">
        <v>1</v>
      </c>
      <c r="K764" s="9">
        <v>512</v>
      </c>
      <c r="L764" s="9">
        <v>2025</v>
      </c>
      <c r="M764" s="8" t="s">
        <v>4670</v>
      </c>
      <c r="N764" s="8" t="s">
        <v>42</v>
      </c>
      <c r="O764" s="8" t="s">
        <v>101</v>
      </c>
      <c r="P764" s="6" t="s">
        <v>44</v>
      </c>
      <c r="Q764" s="8" t="s">
        <v>45</v>
      </c>
      <c r="R764" s="10" t="s">
        <v>4671</v>
      </c>
      <c r="S764" s="11"/>
      <c r="T764" s="6"/>
      <c r="U764" s="24" t="str">
        <f>HYPERLINK("https://media.infra-m.ru/1872/1872459/cover/1872459.jpg", "Обложка")</f>
        <v>Обложка</v>
      </c>
      <c r="V764" s="24" t="str">
        <f>HYPERLINK("https://znanium.ru/catalog/product/1872459", "Ознакомиться")</f>
        <v>Ознакомиться</v>
      </c>
      <c r="W764" s="8" t="s">
        <v>574</v>
      </c>
      <c r="X764" s="6"/>
      <c r="Y764" s="6"/>
      <c r="Z764" s="6"/>
      <c r="AA764" s="6" t="s">
        <v>1154</v>
      </c>
      <c r="AB764" s="8"/>
    </row>
    <row r="765" spans="1:28" s="4" customFormat="1" ht="44.1" customHeight="1">
      <c r="A765" s="5">
        <v>0</v>
      </c>
      <c r="B765" s="6" t="s">
        <v>4672</v>
      </c>
      <c r="C765" s="13">
        <v>936</v>
      </c>
      <c r="D765" s="8" t="s">
        <v>4673</v>
      </c>
      <c r="E765" s="8" t="s">
        <v>4674</v>
      </c>
      <c r="F765" s="8" t="s">
        <v>4675</v>
      </c>
      <c r="G765" s="6" t="s">
        <v>38</v>
      </c>
      <c r="H765" s="6" t="s">
        <v>182</v>
      </c>
      <c r="I765" s="8" t="s">
        <v>40</v>
      </c>
      <c r="J765" s="9">
        <v>1</v>
      </c>
      <c r="K765" s="9">
        <v>169</v>
      </c>
      <c r="L765" s="9">
        <v>2023</v>
      </c>
      <c r="M765" s="8" t="s">
        <v>4676</v>
      </c>
      <c r="N765" s="8" t="s">
        <v>42</v>
      </c>
      <c r="O765" s="8" t="s">
        <v>1035</v>
      </c>
      <c r="P765" s="6" t="s">
        <v>44</v>
      </c>
      <c r="Q765" s="8" t="s">
        <v>1152</v>
      </c>
      <c r="R765" s="10" t="s">
        <v>4677</v>
      </c>
      <c r="S765" s="11"/>
      <c r="T765" s="6"/>
      <c r="U765" s="24" t="str">
        <f>HYPERLINK("https://media.infra-m.ru/2043/2043284/cover/2043284.jpg", "Обложка")</f>
        <v>Обложка</v>
      </c>
      <c r="V765" s="24" t="str">
        <f>HYPERLINK("https://znanium.ru/catalog/product/2043284", "Ознакомиться")</f>
        <v>Ознакомиться</v>
      </c>
      <c r="W765" s="8" t="s">
        <v>601</v>
      </c>
      <c r="X765" s="6"/>
      <c r="Y765" s="6" t="s">
        <v>30</v>
      </c>
      <c r="Z765" s="6"/>
      <c r="AA765" s="6" t="s">
        <v>277</v>
      </c>
      <c r="AB765" s="8"/>
    </row>
    <row r="766" spans="1:28" s="4" customFormat="1" ht="42" customHeight="1">
      <c r="A766" s="5">
        <v>0</v>
      </c>
      <c r="B766" s="6" t="s">
        <v>4678</v>
      </c>
      <c r="C766" s="7">
        <v>1120.8</v>
      </c>
      <c r="D766" s="8" t="s">
        <v>4679</v>
      </c>
      <c r="E766" s="8" t="s">
        <v>4680</v>
      </c>
      <c r="F766" s="8" t="s">
        <v>4681</v>
      </c>
      <c r="G766" s="6" t="s">
        <v>81</v>
      </c>
      <c r="H766" s="6" t="s">
        <v>39</v>
      </c>
      <c r="I766" s="8" t="s">
        <v>40</v>
      </c>
      <c r="J766" s="9">
        <v>1</v>
      </c>
      <c r="K766" s="9">
        <v>149</v>
      </c>
      <c r="L766" s="9">
        <v>2026</v>
      </c>
      <c r="M766" s="8" t="s">
        <v>4682</v>
      </c>
      <c r="N766" s="8" t="s">
        <v>284</v>
      </c>
      <c r="O766" s="8" t="s">
        <v>482</v>
      </c>
      <c r="P766" s="6" t="s">
        <v>44</v>
      </c>
      <c r="Q766" s="8" t="s">
        <v>45</v>
      </c>
      <c r="R766" s="10" t="s">
        <v>4683</v>
      </c>
      <c r="S766" s="11"/>
      <c r="T766" s="6"/>
      <c r="U766" s="24" t="str">
        <f>HYPERLINK("https://media.infra-m.ru/2226/2226478/cover/2226478.jpg", "Обложка")</f>
        <v>Обложка</v>
      </c>
      <c r="V766" s="24" t="str">
        <f>HYPERLINK("https://znanium.ru/catalog/product/2156169", "Ознакомиться")</f>
        <v>Ознакомиться</v>
      </c>
      <c r="W766" s="8" t="s">
        <v>4473</v>
      </c>
      <c r="X766" s="6"/>
      <c r="Y766" s="6"/>
      <c r="Z766" s="6"/>
      <c r="AA766" s="6" t="s">
        <v>58</v>
      </c>
      <c r="AB766" s="8"/>
    </row>
    <row r="767" spans="1:28" s="4" customFormat="1" ht="44.1" customHeight="1">
      <c r="A767" s="5">
        <v>0</v>
      </c>
      <c r="B767" s="6" t="s">
        <v>4684</v>
      </c>
      <c r="C767" s="7">
        <v>1140</v>
      </c>
      <c r="D767" s="8" t="s">
        <v>4685</v>
      </c>
      <c r="E767" s="8" t="s">
        <v>4686</v>
      </c>
      <c r="F767" s="8" t="s">
        <v>4687</v>
      </c>
      <c r="G767" s="6" t="s">
        <v>38</v>
      </c>
      <c r="H767" s="6" t="s">
        <v>39</v>
      </c>
      <c r="I767" s="8" t="s">
        <v>40</v>
      </c>
      <c r="J767" s="9">
        <v>1</v>
      </c>
      <c r="K767" s="9">
        <v>205</v>
      </c>
      <c r="L767" s="9">
        <v>2023</v>
      </c>
      <c r="M767" s="8" t="s">
        <v>4688</v>
      </c>
      <c r="N767" s="8" t="s">
        <v>220</v>
      </c>
      <c r="O767" s="8" t="s">
        <v>296</v>
      </c>
      <c r="P767" s="6" t="s">
        <v>44</v>
      </c>
      <c r="Q767" s="8" t="s">
        <v>45</v>
      </c>
      <c r="R767" s="10" t="s">
        <v>4689</v>
      </c>
      <c r="S767" s="11"/>
      <c r="T767" s="6"/>
      <c r="U767" s="24" t="str">
        <f>HYPERLINK("https://media.infra-m.ru/2126/2126819/cover/2126819.jpg", "Обложка")</f>
        <v>Обложка</v>
      </c>
      <c r="V767" s="24" t="str">
        <f>HYPERLINK("https://znanium.ru/catalog/product/2126819", "Ознакомиться")</f>
        <v>Ознакомиться</v>
      </c>
      <c r="W767" s="8" t="s">
        <v>4690</v>
      </c>
      <c r="X767" s="6"/>
      <c r="Y767" s="6"/>
      <c r="Z767" s="6"/>
      <c r="AA767" s="6" t="s">
        <v>76</v>
      </c>
      <c r="AB767" s="8"/>
    </row>
    <row r="768" spans="1:28" s="4" customFormat="1" ht="42" customHeight="1">
      <c r="A768" s="5">
        <v>0</v>
      </c>
      <c r="B768" s="6" t="s">
        <v>4691</v>
      </c>
      <c r="C768" s="7">
        <v>1536</v>
      </c>
      <c r="D768" s="8" t="s">
        <v>4692</v>
      </c>
      <c r="E768" s="8" t="s">
        <v>4693</v>
      </c>
      <c r="F768" s="8" t="s">
        <v>4694</v>
      </c>
      <c r="G768" s="6" t="s">
        <v>132</v>
      </c>
      <c r="H768" s="6" t="s">
        <v>39</v>
      </c>
      <c r="I768" s="8" t="s">
        <v>40</v>
      </c>
      <c r="J768" s="9">
        <v>1</v>
      </c>
      <c r="K768" s="9">
        <v>251</v>
      </c>
      <c r="L768" s="9">
        <v>2022</v>
      </c>
      <c r="M768" s="8" t="s">
        <v>4695</v>
      </c>
      <c r="N768" s="8" t="s">
        <v>284</v>
      </c>
      <c r="O768" s="8" t="s">
        <v>717</v>
      </c>
      <c r="P768" s="6" t="s">
        <v>44</v>
      </c>
      <c r="Q768" s="8" t="s">
        <v>45</v>
      </c>
      <c r="R768" s="10" t="s">
        <v>718</v>
      </c>
      <c r="S768" s="11"/>
      <c r="T768" s="6"/>
      <c r="U768" s="24" t="str">
        <f>HYPERLINK("https://media.infra-m.ru/1599/1599004/cover/1599004.jpg", "Обложка")</f>
        <v>Обложка</v>
      </c>
      <c r="V768" s="24" t="str">
        <f>HYPERLINK("https://znanium.ru/catalog/product/1599004", "Ознакомиться")</f>
        <v>Ознакомиться</v>
      </c>
      <c r="W768" s="8"/>
      <c r="X768" s="6"/>
      <c r="Y768" s="6"/>
      <c r="Z768" s="6"/>
      <c r="AA768" s="6" t="s">
        <v>111</v>
      </c>
      <c r="AB768" s="8"/>
    </row>
    <row r="769" spans="1:28" s="4" customFormat="1" ht="44.1" customHeight="1">
      <c r="A769" s="5">
        <v>0</v>
      </c>
      <c r="B769" s="6" t="s">
        <v>4696</v>
      </c>
      <c r="C769" s="7">
        <v>1416</v>
      </c>
      <c r="D769" s="8" t="s">
        <v>4697</v>
      </c>
      <c r="E769" s="8" t="s">
        <v>4698</v>
      </c>
      <c r="F769" s="8" t="s">
        <v>4699</v>
      </c>
      <c r="G769" s="6" t="s">
        <v>38</v>
      </c>
      <c r="H769" s="6" t="s">
        <v>39</v>
      </c>
      <c r="I769" s="8" t="s">
        <v>344</v>
      </c>
      <c r="J769" s="9">
        <v>1</v>
      </c>
      <c r="K769" s="9">
        <v>248</v>
      </c>
      <c r="L769" s="9">
        <v>2024</v>
      </c>
      <c r="M769" s="8" t="s">
        <v>4700</v>
      </c>
      <c r="N769" s="8" t="s">
        <v>229</v>
      </c>
      <c r="O769" s="8" t="s">
        <v>230</v>
      </c>
      <c r="P769" s="6" t="s">
        <v>44</v>
      </c>
      <c r="Q769" s="8" t="s">
        <v>45</v>
      </c>
      <c r="R769" s="10" t="s">
        <v>4701</v>
      </c>
      <c r="S769" s="11"/>
      <c r="T769" s="6"/>
      <c r="U769" s="24" t="str">
        <f>HYPERLINK("https://media.infra-m.ru/2078/2078368/cover/2078368.jpg", "Обложка")</f>
        <v>Обложка</v>
      </c>
      <c r="V769" s="12"/>
      <c r="W769" s="8" t="s">
        <v>346</v>
      </c>
      <c r="X769" s="6"/>
      <c r="Y769" s="6"/>
      <c r="Z769" s="6"/>
      <c r="AA769" s="6" t="s">
        <v>68</v>
      </c>
      <c r="AB769" s="8"/>
    </row>
    <row r="770" spans="1:28" s="4" customFormat="1" ht="42" customHeight="1">
      <c r="A770" s="5">
        <v>0</v>
      </c>
      <c r="B770" s="6" t="s">
        <v>4702</v>
      </c>
      <c r="C770" s="7">
        <v>1156.8</v>
      </c>
      <c r="D770" s="8" t="s">
        <v>4703</v>
      </c>
      <c r="E770" s="8" t="s">
        <v>4704</v>
      </c>
      <c r="F770" s="8" t="s">
        <v>4705</v>
      </c>
      <c r="G770" s="6" t="s">
        <v>81</v>
      </c>
      <c r="H770" s="6" t="s">
        <v>39</v>
      </c>
      <c r="I770" s="8" t="s">
        <v>40</v>
      </c>
      <c r="J770" s="9">
        <v>1</v>
      </c>
      <c r="K770" s="9">
        <v>184</v>
      </c>
      <c r="L770" s="9">
        <v>2025</v>
      </c>
      <c r="M770" s="8" t="s">
        <v>4706</v>
      </c>
      <c r="N770" s="8" t="s">
        <v>42</v>
      </c>
      <c r="O770" s="8" t="s">
        <v>189</v>
      </c>
      <c r="P770" s="6" t="s">
        <v>44</v>
      </c>
      <c r="Q770" s="8" t="s">
        <v>45</v>
      </c>
      <c r="R770" s="10" t="s">
        <v>1419</v>
      </c>
      <c r="S770" s="11"/>
      <c r="T770" s="6"/>
      <c r="U770" s="24" t="str">
        <f>HYPERLINK("https://media.infra-m.ru/2197/2197814/cover/2197814.jpg", "Обложка")</f>
        <v>Обложка</v>
      </c>
      <c r="V770" s="24" t="str">
        <f>HYPERLINK("https://znanium.ru/catalog/product/1167968", "Ознакомиться")</f>
        <v>Ознакомиться</v>
      </c>
      <c r="W770" s="8" t="s">
        <v>1929</v>
      </c>
      <c r="X770" s="6"/>
      <c r="Y770" s="6"/>
      <c r="Z770" s="6"/>
      <c r="AA770" s="6" t="s">
        <v>168</v>
      </c>
      <c r="AB770" s="8"/>
    </row>
    <row r="771" spans="1:28" s="4" customFormat="1" ht="51.95" customHeight="1">
      <c r="A771" s="5">
        <v>0</v>
      </c>
      <c r="B771" s="6" t="s">
        <v>4707</v>
      </c>
      <c r="C771" s="7">
        <v>2220</v>
      </c>
      <c r="D771" s="8" t="s">
        <v>4708</v>
      </c>
      <c r="E771" s="8" t="s">
        <v>4709</v>
      </c>
      <c r="F771" s="8" t="s">
        <v>2123</v>
      </c>
      <c r="G771" s="6" t="s">
        <v>132</v>
      </c>
      <c r="H771" s="6" t="s">
        <v>39</v>
      </c>
      <c r="I771" s="8" t="s">
        <v>40</v>
      </c>
      <c r="J771" s="9">
        <v>1</v>
      </c>
      <c r="K771" s="9">
        <v>409</v>
      </c>
      <c r="L771" s="9">
        <v>2022</v>
      </c>
      <c r="M771" s="8" t="s">
        <v>4710</v>
      </c>
      <c r="N771" s="8" t="s">
        <v>42</v>
      </c>
      <c r="O771" s="8" t="s">
        <v>101</v>
      </c>
      <c r="P771" s="6" t="s">
        <v>44</v>
      </c>
      <c r="Q771" s="8" t="s">
        <v>45</v>
      </c>
      <c r="R771" s="10" t="s">
        <v>4711</v>
      </c>
      <c r="S771" s="11"/>
      <c r="T771" s="6"/>
      <c r="U771" s="24" t="str">
        <f>HYPERLINK("https://media.infra-m.ru/1867/1867634/cover/1867634.jpg", "Обложка")</f>
        <v>Обложка</v>
      </c>
      <c r="V771" s="24" t="str">
        <f>HYPERLINK("https://znanium.ru/catalog/product/1867634", "Ознакомиться")</f>
        <v>Ознакомиться</v>
      </c>
      <c r="W771" s="8" t="s">
        <v>937</v>
      </c>
      <c r="X771" s="6"/>
      <c r="Y771" s="6"/>
      <c r="Z771" s="6"/>
      <c r="AA771" s="6" t="s">
        <v>111</v>
      </c>
      <c r="AB771" s="8"/>
    </row>
    <row r="772" spans="1:28" s="4" customFormat="1" ht="42" customHeight="1">
      <c r="A772" s="5">
        <v>0</v>
      </c>
      <c r="B772" s="6" t="s">
        <v>4712</v>
      </c>
      <c r="C772" s="13">
        <v>360</v>
      </c>
      <c r="D772" s="8" t="s">
        <v>4713</v>
      </c>
      <c r="E772" s="8" t="s">
        <v>4714</v>
      </c>
      <c r="F772" s="8" t="s">
        <v>4715</v>
      </c>
      <c r="G772" s="6" t="s">
        <v>38</v>
      </c>
      <c r="H772" s="6" t="s">
        <v>39</v>
      </c>
      <c r="I772" s="8" t="s">
        <v>40</v>
      </c>
      <c r="J772" s="9">
        <v>1</v>
      </c>
      <c r="K772" s="9">
        <v>71</v>
      </c>
      <c r="L772" s="9">
        <v>2022</v>
      </c>
      <c r="M772" s="8" t="s">
        <v>4716</v>
      </c>
      <c r="N772" s="8" t="s">
        <v>220</v>
      </c>
      <c r="O772" s="8" t="s">
        <v>296</v>
      </c>
      <c r="P772" s="6" t="s">
        <v>44</v>
      </c>
      <c r="Q772" s="8" t="s">
        <v>45</v>
      </c>
      <c r="R772" s="10" t="s">
        <v>4717</v>
      </c>
      <c r="S772" s="11"/>
      <c r="T772" s="6" t="s">
        <v>1080</v>
      </c>
      <c r="U772" s="24" t="str">
        <f>HYPERLINK("https://media.infra-m.ru/1881/1881237/cover/1881237.jpg", "Обложка")</f>
        <v>Обложка</v>
      </c>
      <c r="V772" s="24" t="str">
        <f>HYPERLINK("https://znanium.ru/catalog/product/1881237", "Ознакомиться")</f>
        <v>Ознакомиться</v>
      </c>
      <c r="W772" s="8" t="s">
        <v>1362</v>
      </c>
      <c r="X772" s="6"/>
      <c r="Y772" s="6"/>
      <c r="Z772" s="6"/>
      <c r="AA772" s="6" t="s">
        <v>68</v>
      </c>
      <c r="AB772" s="8"/>
    </row>
    <row r="773" spans="1:28" s="4" customFormat="1" ht="42" customHeight="1">
      <c r="A773" s="5">
        <v>0</v>
      </c>
      <c r="B773" s="6" t="s">
        <v>4718</v>
      </c>
      <c r="C773" s="7">
        <v>1504.8</v>
      </c>
      <c r="D773" s="8" t="s">
        <v>4719</v>
      </c>
      <c r="E773" s="8" t="s">
        <v>4720</v>
      </c>
      <c r="F773" s="8" t="s">
        <v>4721</v>
      </c>
      <c r="G773" s="6" t="s">
        <v>132</v>
      </c>
      <c r="H773" s="6" t="s">
        <v>99</v>
      </c>
      <c r="I773" s="8"/>
      <c r="J773" s="9">
        <v>1</v>
      </c>
      <c r="K773" s="9">
        <v>240</v>
      </c>
      <c r="L773" s="9">
        <v>2025</v>
      </c>
      <c r="M773" s="8" t="s">
        <v>4722</v>
      </c>
      <c r="N773" s="8" t="s">
        <v>42</v>
      </c>
      <c r="O773" s="8" t="s">
        <v>101</v>
      </c>
      <c r="P773" s="6" t="s">
        <v>44</v>
      </c>
      <c r="Q773" s="8" t="s">
        <v>45</v>
      </c>
      <c r="R773" s="10" t="s">
        <v>269</v>
      </c>
      <c r="S773" s="11"/>
      <c r="T773" s="6"/>
      <c r="U773" s="24" t="str">
        <f>HYPERLINK("https://media.infra-m.ru/2161/2161458/cover/2161458.jpg", "Обложка")</f>
        <v>Обложка</v>
      </c>
      <c r="V773" s="24" t="str">
        <f>HYPERLINK("https://znanium.ru/catalog/product/1073640", "Ознакомиться")</f>
        <v>Ознакомиться</v>
      </c>
      <c r="W773" s="8" t="s">
        <v>3600</v>
      </c>
      <c r="X773" s="6"/>
      <c r="Y773" s="6"/>
      <c r="Z773" s="6"/>
      <c r="AA773" s="6" t="s">
        <v>94</v>
      </c>
      <c r="AB773" s="8"/>
    </row>
    <row r="774" spans="1:28" s="4" customFormat="1" ht="42" customHeight="1">
      <c r="A774" s="5">
        <v>0</v>
      </c>
      <c r="B774" s="6" t="s">
        <v>4723</v>
      </c>
      <c r="C774" s="13">
        <v>876</v>
      </c>
      <c r="D774" s="8" t="s">
        <v>4724</v>
      </c>
      <c r="E774" s="8" t="s">
        <v>4725</v>
      </c>
      <c r="F774" s="8" t="s">
        <v>4726</v>
      </c>
      <c r="G774" s="6" t="s">
        <v>38</v>
      </c>
      <c r="H774" s="6" t="s">
        <v>99</v>
      </c>
      <c r="I774" s="8"/>
      <c r="J774" s="9">
        <v>1</v>
      </c>
      <c r="K774" s="9">
        <v>144</v>
      </c>
      <c r="L774" s="9">
        <v>2024</v>
      </c>
      <c r="M774" s="8" t="s">
        <v>4727</v>
      </c>
      <c r="N774" s="8" t="s">
        <v>42</v>
      </c>
      <c r="O774" s="8" t="s">
        <v>101</v>
      </c>
      <c r="P774" s="6" t="s">
        <v>659</v>
      </c>
      <c r="Q774" s="8" t="s">
        <v>45</v>
      </c>
      <c r="R774" s="10" t="s">
        <v>874</v>
      </c>
      <c r="S774" s="11"/>
      <c r="T774" s="6"/>
      <c r="U774" s="24" t="str">
        <f>HYPERLINK("https://media.infra-m.ru/1938/1938073/cover/1938073.jpg", "Обложка")</f>
        <v>Обложка</v>
      </c>
      <c r="V774" s="24" t="str">
        <f>HYPERLINK("https://znanium.ru/catalog/product/1938073", "Ознакомиться")</f>
        <v>Ознакомиться</v>
      </c>
      <c r="W774" s="8" t="s">
        <v>2789</v>
      </c>
      <c r="X774" s="6"/>
      <c r="Y774" s="6"/>
      <c r="Z774" s="6"/>
      <c r="AA774" s="6" t="s">
        <v>369</v>
      </c>
      <c r="AB774" s="8"/>
    </row>
    <row r="775" spans="1:28" s="4" customFormat="1" ht="51.95" customHeight="1">
      <c r="A775" s="5">
        <v>0</v>
      </c>
      <c r="B775" s="6" t="s">
        <v>4728</v>
      </c>
      <c r="C775" s="7">
        <v>1800</v>
      </c>
      <c r="D775" s="8" t="s">
        <v>4729</v>
      </c>
      <c r="E775" s="8" t="s">
        <v>4730</v>
      </c>
      <c r="F775" s="8" t="s">
        <v>1701</v>
      </c>
      <c r="G775" s="6" t="s">
        <v>38</v>
      </c>
      <c r="H775" s="6" t="s">
        <v>39</v>
      </c>
      <c r="I775" s="8" t="s">
        <v>40</v>
      </c>
      <c r="J775" s="9">
        <v>1</v>
      </c>
      <c r="K775" s="9">
        <v>324</v>
      </c>
      <c r="L775" s="9">
        <v>2024</v>
      </c>
      <c r="M775" s="8" t="s">
        <v>4731</v>
      </c>
      <c r="N775" s="8" t="s">
        <v>42</v>
      </c>
      <c r="O775" s="8" t="s">
        <v>1035</v>
      </c>
      <c r="P775" s="6" t="s">
        <v>44</v>
      </c>
      <c r="Q775" s="8" t="s">
        <v>45</v>
      </c>
      <c r="R775" s="10" t="s">
        <v>4732</v>
      </c>
      <c r="S775" s="11"/>
      <c r="T775" s="6"/>
      <c r="U775" s="24" t="str">
        <f>HYPERLINK("https://media.infra-m.ru/2125/2125282/cover/2125282.jpg", "Обложка")</f>
        <v>Обложка</v>
      </c>
      <c r="V775" s="24" t="str">
        <f>HYPERLINK("https://znanium.ru/catalog/product/2125282", "Ознакомиться")</f>
        <v>Ознакомиться</v>
      </c>
      <c r="W775" s="8" t="s">
        <v>1704</v>
      </c>
      <c r="X775" s="6"/>
      <c r="Y775" s="6"/>
      <c r="Z775" s="6"/>
      <c r="AA775" s="6" t="s">
        <v>168</v>
      </c>
      <c r="AB775" s="8"/>
    </row>
    <row r="776" spans="1:28" s="4" customFormat="1" ht="51.95" customHeight="1">
      <c r="A776" s="5">
        <v>0</v>
      </c>
      <c r="B776" s="6" t="s">
        <v>4733</v>
      </c>
      <c r="C776" s="7">
        <v>1572</v>
      </c>
      <c r="D776" s="8" t="s">
        <v>4734</v>
      </c>
      <c r="E776" s="8" t="s">
        <v>4735</v>
      </c>
      <c r="F776" s="8" t="s">
        <v>4736</v>
      </c>
      <c r="G776" s="6" t="s">
        <v>38</v>
      </c>
      <c r="H776" s="6" t="s">
        <v>39</v>
      </c>
      <c r="I776" s="8" t="s">
        <v>40</v>
      </c>
      <c r="J776" s="9">
        <v>1</v>
      </c>
      <c r="K776" s="9">
        <v>261</v>
      </c>
      <c r="L776" s="9">
        <v>2025</v>
      </c>
      <c r="M776" s="8" t="s">
        <v>4737</v>
      </c>
      <c r="N776" s="8" t="s">
        <v>42</v>
      </c>
      <c r="O776" s="8" t="s">
        <v>189</v>
      </c>
      <c r="P776" s="6" t="s">
        <v>44</v>
      </c>
      <c r="Q776" s="8" t="s">
        <v>45</v>
      </c>
      <c r="R776" s="10" t="s">
        <v>4738</v>
      </c>
      <c r="S776" s="11"/>
      <c r="T776" s="6"/>
      <c r="U776" s="24" t="str">
        <f>HYPERLINK("https://media.infra-m.ru/2172/2172574/cover/2172574.jpg", "Обложка")</f>
        <v>Обложка</v>
      </c>
      <c r="V776" s="24" t="str">
        <f>HYPERLINK("https://znanium.ru/catalog/product/2172574", "Ознакомиться")</f>
        <v>Ознакомиться</v>
      </c>
      <c r="W776" s="8" t="s">
        <v>1049</v>
      </c>
      <c r="X776" s="6"/>
      <c r="Y776" s="6"/>
      <c r="Z776" s="6"/>
      <c r="AA776" s="6" t="s">
        <v>127</v>
      </c>
      <c r="AB776" s="8"/>
    </row>
    <row r="777" spans="1:28" s="4" customFormat="1" ht="51.95" customHeight="1">
      <c r="A777" s="5">
        <v>0</v>
      </c>
      <c r="B777" s="6" t="s">
        <v>4739</v>
      </c>
      <c r="C777" s="7">
        <v>1612.8</v>
      </c>
      <c r="D777" s="8" t="s">
        <v>4740</v>
      </c>
      <c r="E777" s="8" t="s">
        <v>4741</v>
      </c>
      <c r="F777" s="8" t="s">
        <v>4742</v>
      </c>
      <c r="G777" s="6" t="s">
        <v>81</v>
      </c>
      <c r="H777" s="6" t="s">
        <v>39</v>
      </c>
      <c r="I777" s="8" t="s">
        <v>40</v>
      </c>
      <c r="J777" s="9">
        <v>1</v>
      </c>
      <c r="K777" s="9">
        <v>292</v>
      </c>
      <c r="L777" s="9">
        <v>2024</v>
      </c>
      <c r="M777" s="8" t="s">
        <v>4743</v>
      </c>
      <c r="N777" s="8" t="s">
        <v>42</v>
      </c>
      <c r="O777" s="8" t="s">
        <v>246</v>
      </c>
      <c r="P777" s="6" t="s">
        <v>44</v>
      </c>
      <c r="Q777" s="8" t="s">
        <v>45</v>
      </c>
      <c r="R777" s="10" t="s">
        <v>4744</v>
      </c>
      <c r="S777" s="11"/>
      <c r="T777" s="6"/>
      <c r="U777" s="24" t="str">
        <f>HYPERLINK("https://media.infra-m.ru/2091/2091919/cover/2091919.jpg", "Обложка")</f>
        <v>Обложка</v>
      </c>
      <c r="V777" s="24" t="str">
        <f>HYPERLINK("https://znanium.ru/catalog/product/1047100", "Ознакомиться")</f>
        <v>Ознакомиться</v>
      </c>
      <c r="W777" s="8" t="s">
        <v>1049</v>
      </c>
      <c r="X777" s="6"/>
      <c r="Y777" s="6"/>
      <c r="Z777" s="6"/>
      <c r="AA777" s="6" t="s">
        <v>277</v>
      </c>
      <c r="AB777" s="8"/>
    </row>
    <row r="778" spans="1:28" s="4" customFormat="1" ht="42" customHeight="1">
      <c r="A778" s="5">
        <v>0</v>
      </c>
      <c r="B778" s="6" t="s">
        <v>4745</v>
      </c>
      <c r="C778" s="7">
        <v>1308</v>
      </c>
      <c r="D778" s="8" t="s">
        <v>4746</v>
      </c>
      <c r="E778" s="8" t="s">
        <v>4747</v>
      </c>
      <c r="F778" s="8" t="s">
        <v>4748</v>
      </c>
      <c r="G778" s="6" t="s">
        <v>38</v>
      </c>
      <c r="H778" s="6" t="s">
        <v>39</v>
      </c>
      <c r="I778" s="8" t="s">
        <v>40</v>
      </c>
      <c r="J778" s="9">
        <v>1</v>
      </c>
      <c r="K778" s="9">
        <v>232</v>
      </c>
      <c r="L778" s="9">
        <v>2024</v>
      </c>
      <c r="M778" s="8" t="s">
        <v>4749</v>
      </c>
      <c r="N778" s="8" t="s">
        <v>42</v>
      </c>
      <c r="O778" s="8" t="s">
        <v>189</v>
      </c>
      <c r="P778" s="6" t="s">
        <v>44</v>
      </c>
      <c r="Q778" s="8" t="s">
        <v>45</v>
      </c>
      <c r="R778" s="10" t="s">
        <v>1100</v>
      </c>
      <c r="S778" s="11"/>
      <c r="T778" s="6"/>
      <c r="U778" s="24" t="str">
        <f>HYPERLINK("https://media.infra-m.ru/2151/2151393/cover/2151393.jpg", "Обложка")</f>
        <v>Обложка</v>
      </c>
      <c r="V778" s="24" t="str">
        <f>HYPERLINK("https://znanium.ru/catalog/product/2151393", "Ознакомиться")</f>
        <v>Ознакомиться</v>
      </c>
      <c r="W778" s="8" t="s">
        <v>4750</v>
      </c>
      <c r="X778" s="6"/>
      <c r="Y778" s="6"/>
      <c r="Z778" s="6"/>
      <c r="AA778" s="6" t="s">
        <v>76</v>
      </c>
      <c r="AB778" s="8"/>
    </row>
    <row r="779" spans="1:28" s="4" customFormat="1" ht="44.1" customHeight="1">
      <c r="A779" s="5">
        <v>0</v>
      </c>
      <c r="B779" s="6" t="s">
        <v>4751</v>
      </c>
      <c r="C779" s="13">
        <v>636</v>
      </c>
      <c r="D779" s="8" t="s">
        <v>4752</v>
      </c>
      <c r="E779" s="8" t="s">
        <v>4753</v>
      </c>
      <c r="F779" s="8" t="s">
        <v>4754</v>
      </c>
      <c r="G779" s="6" t="s">
        <v>38</v>
      </c>
      <c r="H779" s="6" t="s">
        <v>39</v>
      </c>
      <c r="I779" s="8" t="s">
        <v>40</v>
      </c>
      <c r="J779" s="9">
        <v>1</v>
      </c>
      <c r="K779" s="9">
        <v>104</v>
      </c>
      <c r="L779" s="9">
        <v>2023</v>
      </c>
      <c r="M779" s="8" t="s">
        <v>4755</v>
      </c>
      <c r="N779" s="8" t="s">
        <v>42</v>
      </c>
      <c r="O779" s="8" t="s">
        <v>189</v>
      </c>
      <c r="P779" s="6" t="s">
        <v>44</v>
      </c>
      <c r="Q779" s="8" t="s">
        <v>45</v>
      </c>
      <c r="R779" s="10" t="s">
        <v>3205</v>
      </c>
      <c r="S779" s="11"/>
      <c r="T779" s="6"/>
      <c r="U779" s="24" t="str">
        <f>HYPERLINK("https://media.infra-m.ru/1898/1898540/cover/1898540.jpg", "Обложка")</f>
        <v>Обложка</v>
      </c>
      <c r="V779" s="24" t="str">
        <f>HYPERLINK("https://znanium.ru/catalog/product/1898540", "Ознакомиться")</f>
        <v>Ознакомиться</v>
      </c>
      <c r="W779" s="8" t="s">
        <v>207</v>
      </c>
      <c r="X779" s="6"/>
      <c r="Y779" s="6"/>
      <c r="Z779" s="6"/>
      <c r="AA779" s="6" t="s">
        <v>377</v>
      </c>
      <c r="AB779" s="8"/>
    </row>
    <row r="780" spans="1:28" s="4" customFormat="1" ht="44.1" customHeight="1">
      <c r="A780" s="5">
        <v>0</v>
      </c>
      <c r="B780" s="6" t="s">
        <v>4756</v>
      </c>
      <c r="C780" s="13">
        <v>948</v>
      </c>
      <c r="D780" s="8" t="s">
        <v>4757</v>
      </c>
      <c r="E780" s="8" t="s">
        <v>4758</v>
      </c>
      <c r="F780" s="8" t="s">
        <v>4759</v>
      </c>
      <c r="G780" s="6" t="s">
        <v>38</v>
      </c>
      <c r="H780" s="6" t="s">
        <v>39</v>
      </c>
      <c r="I780" s="8" t="s">
        <v>40</v>
      </c>
      <c r="J780" s="9">
        <v>1</v>
      </c>
      <c r="K780" s="9">
        <v>175</v>
      </c>
      <c r="L780" s="9">
        <v>2022</v>
      </c>
      <c r="M780" s="8" t="s">
        <v>4760</v>
      </c>
      <c r="N780" s="8" t="s">
        <v>42</v>
      </c>
      <c r="O780" s="8" t="s">
        <v>101</v>
      </c>
      <c r="P780" s="6" t="s">
        <v>44</v>
      </c>
      <c r="Q780" s="8" t="s">
        <v>45</v>
      </c>
      <c r="R780" s="10" t="s">
        <v>4761</v>
      </c>
      <c r="S780" s="11"/>
      <c r="T780" s="6"/>
      <c r="U780" s="24" t="str">
        <f>HYPERLINK("https://media.infra-m.ru/1860/1860937/cover/1860937.jpg", "Обложка")</f>
        <v>Обложка</v>
      </c>
      <c r="V780" s="24" t="str">
        <f>HYPERLINK("https://znanium.ru/catalog/product/1860937", "Ознакомиться")</f>
        <v>Ознакомиться</v>
      </c>
      <c r="W780" s="8"/>
      <c r="X780" s="6"/>
      <c r="Y780" s="6"/>
      <c r="Z780" s="6"/>
      <c r="AA780" s="6" t="s">
        <v>111</v>
      </c>
      <c r="AB780" s="8"/>
    </row>
    <row r="781" spans="1:28" s="4" customFormat="1" ht="42" customHeight="1">
      <c r="A781" s="5">
        <v>0</v>
      </c>
      <c r="B781" s="6" t="s">
        <v>4762</v>
      </c>
      <c r="C781" s="7">
        <v>1000.8</v>
      </c>
      <c r="D781" s="8" t="s">
        <v>4763</v>
      </c>
      <c r="E781" s="8" t="s">
        <v>4764</v>
      </c>
      <c r="F781" s="8" t="s">
        <v>4765</v>
      </c>
      <c r="G781" s="6" t="s">
        <v>38</v>
      </c>
      <c r="H781" s="6" t="s">
        <v>182</v>
      </c>
      <c r="I781" s="8" t="s">
        <v>40</v>
      </c>
      <c r="J781" s="9">
        <v>1</v>
      </c>
      <c r="K781" s="9">
        <v>168</v>
      </c>
      <c r="L781" s="9">
        <v>2024</v>
      </c>
      <c r="M781" s="8" t="s">
        <v>4766</v>
      </c>
      <c r="N781" s="8" t="s">
        <v>42</v>
      </c>
      <c r="O781" s="8" t="s">
        <v>43</v>
      </c>
      <c r="P781" s="6" t="s">
        <v>44</v>
      </c>
      <c r="Q781" s="8" t="s">
        <v>45</v>
      </c>
      <c r="R781" s="10" t="s">
        <v>4767</v>
      </c>
      <c r="S781" s="11"/>
      <c r="T781" s="6"/>
      <c r="U781" s="24" t="str">
        <f>HYPERLINK("https://media.infra-m.ru/2164/2164307/cover/2164307.jpg", "Обложка")</f>
        <v>Обложка</v>
      </c>
      <c r="V781" s="12"/>
      <c r="W781" s="8" t="s">
        <v>4768</v>
      </c>
      <c r="X781" s="6"/>
      <c r="Y781" s="6"/>
      <c r="Z781" s="6"/>
      <c r="AA781" s="6" t="s">
        <v>725</v>
      </c>
      <c r="AB781" s="8"/>
    </row>
    <row r="782" spans="1:28" s="4" customFormat="1" ht="42" customHeight="1">
      <c r="A782" s="5">
        <v>0</v>
      </c>
      <c r="B782" s="6" t="s">
        <v>4769</v>
      </c>
      <c r="C782" s="13">
        <v>828</v>
      </c>
      <c r="D782" s="8" t="s">
        <v>4770</v>
      </c>
      <c r="E782" s="8" t="s">
        <v>4771</v>
      </c>
      <c r="F782" s="8" t="s">
        <v>4765</v>
      </c>
      <c r="G782" s="6" t="s">
        <v>38</v>
      </c>
      <c r="H782" s="6" t="s">
        <v>182</v>
      </c>
      <c r="I782" s="8" t="s">
        <v>40</v>
      </c>
      <c r="J782" s="9">
        <v>1</v>
      </c>
      <c r="K782" s="9">
        <v>168</v>
      </c>
      <c r="L782" s="9">
        <v>2021</v>
      </c>
      <c r="M782" s="8" t="s">
        <v>4766</v>
      </c>
      <c r="N782" s="8" t="s">
        <v>42</v>
      </c>
      <c r="O782" s="8" t="s">
        <v>43</v>
      </c>
      <c r="P782" s="6" t="s">
        <v>44</v>
      </c>
      <c r="Q782" s="8" t="s">
        <v>45</v>
      </c>
      <c r="R782" s="10" t="s">
        <v>4767</v>
      </c>
      <c r="S782" s="11"/>
      <c r="T782" s="6"/>
      <c r="U782" s="24" t="str">
        <f>HYPERLINK("https://media.infra-m.ru/1177/1177513/cover/1177513.jpg", "Обложка")</f>
        <v>Обложка</v>
      </c>
      <c r="V782" s="12"/>
      <c r="W782" s="8" t="s">
        <v>4768</v>
      </c>
      <c r="X782" s="6"/>
      <c r="Y782" s="6"/>
      <c r="Z782" s="6"/>
      <c r="AA782" s="6" t="s">
        <v>76</v>
      </c>
      <c r="AB782" s="8"/>
    </row>
    <row r="783" spans="1:28" s="4" customFormat="1" ht="42" customHeight="1">
      <c r="A783" s="5">
        <v>0</v>
      </c>
      <c r="B783" s="6" t="s">
        <v>4772</v>
      </c>
      <c r="C783" s="7">
        <v>1301.9000000000001</v>
      </c>
      <c r="D783" s="8" t="s">
        <v>4773</v>
      </c>
      <c r="E783" s="8" t="s">
        <v>4774</v>
      </c>
      <c r="F783" s="8" t="s">
        <v>4775</v>
      </c>
      <c r="G783" s="6" t="s">
        <v>38</v>
      </c>
      <c r="H783" s="6" t="s">
        <v>99</v>
      </c>
      <c r="I783" s="8"/>
      <c r="J783" s="9">
        <v>1</v>
      </c>
      <c r="K783" s="9">
        <v>240</v>
      </c>
      <c r="L783" s="9">
        <v>2025</v>
      </c>
      <c r="M783" s="8" t="s">
        <v>4776</v>
      </c>
      <c r="N783" s="8" t="s">
        <v>42</v>
      </c>
      <c r="O783" s="8" t="s">
        <v>101</v>
      </c>
      <c r="P783" s="6" t="s">
        <v>44</v>
      </c>
      <c r="Q783" s="8" t="s">
        <v>45</v>
      </c>
      <c r="R783" s="10" t="s">
        <v>2924</v>
      </c>
      <c r="S783" s="11"/>
      <c r="T783" s="6"/>
      <c r="U783" s="24" t="str">
        <f>HYPERLINK("https://media.infra-m.ru/1895/1895622/cover/1895622.jpg", "Обложка")</f>
        <v>Обложка</v>
      </c>
      <c r="V783" s="24" t="str">
        <f>HYPERLINK("https://znanium.ru/catalog/product/1362125", "Ознакомиться")</f>
        <v>Ознакомиться</v>
      </c>
      <c r="W783" s="8" t="s">
        <v>4777</v>
      </c>
      <c r="X783" s="6"/>
      <c r="Y783" s="6"/>
      <c r="Z783" s="6"/>
      <c r="AA783" s="6" t="s">
        <v>339</v>
      </c>
      <c r="AB783" s="8"/>
    </row>
    <row r="784" spans="1:28" s="4" customFormat="1" ht="51.95" customHeight="1">
      <c r="A784" s="5">
        <v>0</v>
      </c>
      <c r="B784" s="6" t="s">
        <v>4778</v>
      </c>
      <c r="C784" s="7">
        <v>2212.8000000000002</v>
      </c>
      <c r="D784" s="8" t="s">
        <v>4779</v>
      </c>
      <c r="E784" s="8" t="s">
        <v>4780</v>
      </c>
      <c r="F784" s="8" t="s">
        <v>4781</v>
      </c>
      <c r="G784" s="6" t="s">
        <v>132</v>
      </c>
      <c r="H784" s="6" t="s">
        <v>99</v>
      </c>
      <c r="I784" s="8"/>
      <c r="J784" s="9">
        <v>1</v>
      </c>
      <c r="K784" s="9">
        <v>368</v>
      </c>
      <c r="L784" s="9">
        <v>2026</v>
      </c>
      <c r="M784" s="8" t="s">
        <v>4782</v>
      </c>
      <c r="N784" s="8" t="s">
        <v>42</v>
      </c>
      <c r="O784" s="8" t="s">
        <v>101</v>
      </c>
      <c r="P784" s="6" t="s">
        <v>44</v>
      </c>
      <c r="Q784" s="8" t="s">
        <v>45</v>
      </c>
      <c r="R784" s="10" t="s">
        <v>4783</v>
      </c>
      <c r="S784" s="11"/>
      <c r="T784" s="6"/>
      <c r="U784" s="24" t="str">
        <f>HYPERLINK("https://media.infra-m.ru/2206/2206563/cover/2206563.jpg", "Обложка")</f>
        <v>Обложка</v>
      </c>
      <c r="V784" s="24" t="str">
        <f>HYPERLINK("https://znanium.ru/catalog/product/1911601", "Ознакомиться")</f>
        <v>Ознакомиться</v>
      </c>
      <c r="W784" s="8" t="s">
        <v>418</v>
      </c>
      <c r="X784" s="6"/>
      <c r="Y784" s="6"/>
      <c r="Z784" s="6"/>
      <c r="AA784" s="6" t="s">
        <v>119</v>
      </c>
      <c r="AB784" s="8"/>
    </row>
    <row r="785" spans="1:28" s="4" customFormat="1" ht="42" customHeight="1">
      <c r="A785" s="5">
        <v>0</v>
      </c>
      <c r="B785" s="6" t="s">
        <v>4784</v>
      </c>
      <c r="C785" s="7">
        <v>1660.8</v>
      </c>
      <c r="D785" s="8" t="s">
        <v>4785</v>
      </c>
      <c r="E785" s="8" t="s">
        <v>4786</v>
      </c>
      <c r="F785" s="8" t="s">
        <v>2966</v>
      </c>
      <c r="G785" s="6" t="s">
        <v>81</v>
      </c>
      <c r="H785" s="6" t="s">
        <v>39</v>
      </c>
      <c r="I785" s="8" t="s">
        <v>336</v>
      </c>
      <c r="J785" s="9">
        <v>1</v>
      </c>
      <c r="K785" s="9">
        <v>308</v>
      </c>
      <c r="L785" s="9">
        <v>2023</v>
      </c>
      <c r="M785" s="8" t="s">
        <v>4787</v>
      </c>
      <c r="N785" s="8" t="s">
        <v>42</v>
      </c>
      <c r="O785" s="8" t="s">
        <v>101</v>
      </c>
      <c r="P785" s="6" t="s">
        <v>44</v>
      </c>
      <c r="Q785" s="8" t="s">
        <v>45</v>
      </c>
      <c r="R785" s="10" t="s">
        <v>1765</v>
      </c>
      <c r="S785" s="11"/>
      <c r="T785" s="6"/>
      <c r="U785" s="24" t="str">
        <f>HYPERLINK("https://media.infra-m.ru/1223/1223502/cover/1223502.jpg", "Обложка")</f>
        <v>Обложка</v>
      </c>
      <c r="V785" s="24" t="str">
        <f>HYPERLINK("https://znanium.ru/catalog/product/1216136", "Ознакомиться")</f>
        <v>Ознакомиться</v>
      </c>
      <c r="W785" s="8" t="s">
        <v>103</v>
      </c>
      <c r="X785" s="6"/>
      <c r="Y785" s="6"/>
      <c r="Z785" s="6"/>
      <c r="AA785" s="6" t="s">
        <v>369</v>
      </c>
      <c r="AB785" s="8"/>
    </row>
    <row r="786" spans="1:28" s="4" customFormat="1" ht="44.1" customHeight="1">
      <c r="A786" s="5">
        <v>0</v>
      </c>
      <c r="B786" s="6" t="s">
        <v>4788</v>
      </c>
      <c r="C786" s="7">
        <v>1792.8</v>
      </c>
      <c r="D786" s="8" t="s">
        <v>4789</v>
      </c>
      <c r="E786" s="8" t="s">
        <v>4790</v>
      </c>
      <c r="F786" s="8" t="s">
        <v>1585</v>
      </c>
      <c r="G786" s="6" t="s">
        <v>81</v>
      </c>
      <c r="H786" s="6" t="s">
        <v>99</v>
      </c>
      <c r="I786" s="8"/>
      <c r="J786" s="9">
        <v>1</v>
      </c>
      <c r="K786" s="9">
        <v>272</v>
      </c>
      <c r="L786" s="9">
        <v>2026</v>
      </c>
      <c r="M786" s="8" t="s">
        <v>4791</v>
      </c>
      <c r="N786" s="8" t="s">
        <v>42</v>
      </c>
      <c r="O786" s="8" t="s">
        <v>101</v>
      </c>
      <c r="P786" s="6" t="s">
        <v>44</v>
      </c>
      <c r="Q786" s="8" t="s">
        <v>45</v>
      </c>
      <c r="R786" s="10" t="s">
        <v>1587</v>
      </c>
      <c r="S786" s="11"/>
      <c r="T786" s="6"/>
      <c r="U786" s="24" t="str">
        <f>HYPERLINK("https://media.infra-m.ru/2221/2221651/cover/2221651.jpg", "Обложка")</f>
        <v>Обложка</v>
      </c>
      <c r="V786" s="24" t="str">
        <f>HYPERLINK("https://znanium.ru/catalog/product/2130187", "Ознакомиться")</f>
        <v>Ознакомиться</v>
      </c>
      <c r="W786" s="8" t="s">
        <v>565</v>
      </c>
      <c r="X786" s="6"/>
      <c r="Y786" s="6"/>
      <c r="Z786" s="6"/>
      <c r="AA786" s="6" t="s">
        <v>127</v>
      </c>
      <c r="AB786" s="8"/>
    </row>
    <row r="787" spans="1:28" s="4" customFormat="1" ht="44.1" customHeight="1">
      <c r="A787" s="5">
        <v>0</v>
      </c>
      <c r="B787" s="6" t="s">
        <v>4792</v>
      </c>
      <c r="C787" s="7">
        <v>3004.8</v>
      </c>
      <c r="D787" s="8" t="s">
        <v>4793</v>
      </c>
      <c r="E787" s="8" t="s">
        <v>4794</v>
      </c>
      <c r="F787" s="8" t="s">
        <v>4795</v>
      </c>
      <c r="G787" s="6" t="s">
        <v>132</v>
      </c>
      <c r="H787" s="6" t="s">
        <v>99</v>
      </c>
      <c r="I787" s="8"/>
      <c r="J787" s="9">
        <v>1</v>
      </c>
      <c r="K787" s="9">
        <v>672</v>
      </c>
      <c r="L787" s="9">
        <v>2024</v>
      </c>
      <c r="M787" s="8" t="s">
        <v>4796</v>
      </c>
      <c r="N787" s="8" t="s">
        <v>42</v>
      </c>
      <c r="O787" s="8" t="s">
        <v>101</v>
      </c>
      <c r="P787" s="6" t="s">
        <v>44</v>
      </c>
      <c r="Q787" s="8" t="s">
        <v>45</v>
      </c>
      <c r="R787" s="10" t="s">
        <v>4797</v>
      </c>
      <c r="S787" s="11"/>
      <c r="T787" s="6"/>
      <c r="U787" s="24" t="str">
        <f>HYPERLINK("https://media.infra-m.ru/2123/2123872/cover/2123872.jpg", "Обложка")</f>
        <v>Обложка</v>
      </c>
      <c r="V787" s="12"/>
      <c r="W787" s="8" t="s">
        <v>191</v>
      </c>
      <c r="X787" s="6"/>
      <c r="Y787" s="6"/>
      <c r="Z787" s="6"/>
      <c r="AA787" s="6" t="s">
        <v>76</v>
      </c>
      <c r="AB787" s="8"/>
    </row>
    <row r="788" spans="1:28" s="4" customFormat="1" ht="44.1" customHeight="1">
      <c r="A788" s="5">
        <v>0</v>
      </c>
      <c r="B788" s="6" t="s">
        <v>4798</v>
      </c>
      <c r="C788" s="7">
        <v>2309.9</v>
      </c>
      <c r="D788" s="8" t="s">
        <v>4799</v>
      </c>
      <c r="E788" s="8" t="s">
        <v>4800</v>
      </c>
      <c r="F788" s="8" t="s">
        <v>4801</v>
      </c>
      <c r="G788" s="6" t="s">
        <v>132</v>
      </c>
      <c r="H788" s="6" t="s">
        <v>39</v>
      </c>
      <c r="I788" s="8" t="s">
        <v>40</v>
      </c>
      <c r="J788" s="9">
        <v>1</v>
      </c>
      <c r="K788" s="9">
        <v>427</v>
      </c>
      <c r="L788" s="9">
        <v>2023</v>
      </c>
      <c r="M788" s="8" t="s">
        <v>4802</v>
      </c>
      <c r="N788" s="8" t="s">
        <v>42</v>
      </c>
      <c r="O788" s="8" t="s">
        <v>101</v>
      </c>
      <c r="P788" s="6" t="s">
        <v>44</v>
      </c>
      <c r="Q788" s="8" t="s">
        <v>45</v>
      </c>
      <c r="R788" s="10" t="s">
        <v>1587</v>
      </c>
      <c r="S788" s="11"/>
      <c r="T788" s="6"/>
      <c r="U788" s="24" t="str">
        <f>HYPERLINK("https://media.infra-m.ru/2044/2044343/cover/2044343.jpg", "Обложка")</f>
        <v>Обложка</v>
      </c>
      <c r="V788" s="24" t="str">
        <f>HYPERLINK("https://znanium.ru/catalog/product/947759", "Ознакомиться")</f>
        <v>Ознакомиться</v>
      </c>
      <c r="W788" s="8" t="s">
        <v>191</v>
      </c>
      <c r="X788" s="6"/>
      <c r="Y788" s="6"/>
      <c r="Z788" s="6"/>
      <c r="AA788" s="6" t="s">
        <v>127</v>
      </c>
      <c r="AB788" s="8"/>
    </row>
    <row r="789" spans="1:28" s="4" customFormat="1" ht="51.95" customHeight="1">
      <c r="A789" s="5">
        <v>0</v>
      </c>
      <c r="B789" s="6" t="s">
        <v>4803</v>
      </c>
      <c r="C789" s="7">
        <v>1056</v>
      </c>
      <c r="D789" s="8" t="s">
        <v>4804</v>
      </c>
      <c r="E789" s="8" t="s">
        <v>4805</v>
      </c>
      <c r="F789" s="8" t="s">
        <v>4806</v>
      </c>
      <c r="G789" s="6" t="s">
        <v>132</v>
      </c>
      <c r="H789" s="6" t="s">
        <v>39</v>
      </c>
      <c r="I789" s="8" t="s">
        <v>40</v>
      </c>
      <c r="J789" s="9">
        <v>1</v>
      </c>
      <c r="K789" s="9">
        <v>197</v>
      </c>
      <c r="L789" s="9">
        <v>2022</v>
      </c>
      <c r="M789" s="8" t="s">
        <v>4807</v>
      </c>
      <c r="N789" s="8" t="s">
        <v>42</v>
      </c>
      <c r="O789" s="8" t="s">
        <v>101</v>
      </c>
      <c r="P789" s="6" t="s">
        <v>44</v>
      </c>
      <c r="Q789" s="8" t="s">
        <v>45</v>
      </c>
      <c r="R789" s="10" t="s">
        <v>4808</v>
      </c>
      <c r="S789" s="11"/>
      <c r="T789" s="6"/>
      <c r="U789" s="24" t="str">
        <f>HYPERLINK("https://media.infra-m.ru/1859/1859643/cover/1859643.jpg", "Обложка")</f>
        <v>Обложка</v>
      </c>
      <c r="V789" s="24" t="str">
        <f>HYPERLINK("https://znanium.ru/catalog/product/1859643", "Ознакомиться")</f>
        <v>Ознакомиться</v>
      </c>
      <c r="W789" s="8" t="s">
        <v>4809</v>
      </c>
      <c r="X789" s="6"/>
      <c r="Y789" s="6"/>
      <c r="Z789" s="6"/>
      <c r="AA789" s="6" t="s">
        <v>111</v>
      </c>
      <c r="AB789" s="8"/>
    </row>
    <row r="790" spans="1:28" s="4" customFormat="1" ht="42" customHeight="1">
      <c r="A790" s="5">
        <v>0</v>
      </c>
      <c r="B790" s="6" t="s">
        <v>4810</v>
      </c>
      <c r="C790" s="7">
        <v>2620.8000000000002</v>
      </c>
      <c r="D790" s="8" t="s">
        <v>4811</v>
      </c>
      <c r="E790" s="8" t="s">
        <v>4812</v>
      </c>
      <c r="F790" s="8" t="s">
        <v>4813</v>
      </c>
      <c r="G790" s="6" t="s">
        <v>132</v>
      </c>
      <c r="H790" s="6" t="s">
        <v>99</v>
      </c>
      <c r="I790" s="8"/>
      <c r="J790" s="9">
        <v>1</v>
      </c>
      <c r="K790" s="9">
        <v>496</v>
      </c>
      <c r="L790" s="9">
        <v>2024</v>
      </c>
      <c r="M790" s="8" t="s">
        <v>4814</v>
      </c>
      <c r="N790" s="8" t="s">
        <v>42</v>
      </c>
      <c r="O790" s="8" t="s">
        <v>101</v>
      </c>
      <c r="P790" s="6" t="s">
        <v>44</v>
      </c>
      <c r="Q790" s="8" t="s">
        <v>45</v>
      </c>
      <c r="R790" s="10" t="s">
        <v>564</v>
      </c>
      <c r="S790" s="11"/>
      <c r="T790" s="6"/>
      <c r="U790" s="24" t="str">
        <f>HYPERLINK("https://media.infra-m.ru/2115/2115200/cover/2115200.jpg", "Обложка")</f>
        <v>Обложка</v>
      </c>
      <c r="V790" s="24" t="str">
        <f>HYPERLINK("https://znanium.ru/catalog/product/1832364", "Ознакомиться")</f>
        <v>Ознакомиться</v>
      </c>
      <c r="W790" s="8" t="s">
        <v>574</v>
      </c>
      <c r="X790" s="6"/>
      <c r="Y790" s="6"/>
      <c r="Z790" s="6"/>
      <c r="AA790" s="6" t="s">
        <v>566</v>
      </c>
      <c r="AB790" s="8"/>
    </row>
    <row r="791" spans="1:28" s="4" customFormat="1" ht="51.95" customHeight="1">
      <c r="A791" s="5">
        <v>0</v>
      </c>
      <c r="B791" s="6" t="s">
        <v>4815</v>
      </c>
      <c r="C791" s="13">
        <v>684</v>
      </c>
      <c r="D791" s="8" t="s">
        <v>4816</v>
      </c>
      <c r="E791" s="8" t="s">
        <v>4817</v>
      </c>
      <c r="F791" s="8" t="s">
        <v>4818</v>
      </c>
      <c r="G791" s="6" t="s">
        <v>38</v>
      </c>
      <c r="H791" s="6" t="s">
        <v>1019</v>
      </c>
      <c r="I791" s="8" t="s">
        <v>1020</v>
      </c>
      <c r="J791" s="9">
        <v>1</v>
      </c>
      <c r="K791" s="9">
        <v>116</v>
      </c>
      <c r="L791" s="9">
        <v>2024</v>
      </c>
      <c r="M791" s="8" t="s">
        <v>4819</v>
      </c>
      <c r="N791" s="8" t="s">
        <v>42</v>
      </c>
      <c r="O791" s="8" t="s">
        <v>101</v>
      </c>
      <c r="P791" s="6" t="s">
        <v>44</v>
      </c>
      <c r="Q791" s="8" t="s">
        <v>45</v>
      </c>
      <c r="R791" s="10" t="s">
        <v>1765</v>
      </c>
      <c r="S791" s="11"/>
      <c r="T791" s="6"/>
      <c r="U791" s="24" t="str">
        <f>HYPERLINK("https://media.infra-m.ru/2086/2086792/cover/2086792.jpg", "Обложка")</f>
        <v>Обложка</v>
      </c>
      <c r="V791" s="24" t="str">
        <f>HYPERLINK("https://znanium.ru/catalog/product/2086792", "Ознакомиться")</f>
        <v>Ознакомиться</v>
      </c>
      <c r="W791" s="8" t="s">
        <v>418</v>
      </c>
      <c r="X791" s="6"/>
      <c r="Y791" s="6"/>
      <c r="Z791" s="6"/>
      <c r="AA791" s="6" t="s">
        <v>277</v>
      </c>
      <c r="AB791" s="8"/>
    </row>
    <row r="792" spans="1:28" s="4" customFormat="1" ht="51.95" customHeight="1">
      <c r="A792" s="5">
        <v>0</v>
      </c>
      <c r="B792" s="6" t="s">
        <v>4820</v>
      </c>
      <c r="C792" s="7">
        <v>1068</v>
      </c>
      <c r="D792" s="8" t="s">
        <v>4821</v>
      </c>
      <c r="E792" s="8" t="s">
        <v>4822</v>
      </c>
      <c r="F792" s="8" t="s">
        <v>4823</v>
      </c>
      <c r="G792" s="6" t="s">
        <v>38</v>
      </c>
      <c r="H792" s="6" t="s">
        <v>182</v>
      </c>
      <c r="I792" s="8" t="s">
        <v>40</v>
      </c>
      <c r="J792" s="9">
        <v>1</v>
      </c>
      <c r="K792" s="9">
        <v>248</v>
      </c>
      <c r="L792" s="9">
        <v>2020</v>
      </c>
      <c r="M792" s="8" t="s">
        <v>4824</v>
      </c>
      <c r="N792" s="8" t="s">
        <v>42</v>
      </c>
      <c r="O792" s="8" t="s">
        <v>101</v>
      </c>
      <c r="P792" s="6" t="s">
        <v>44</v>
      </c>
      <c r="Q792" s="8" t="s">
        <v>45</v>
      </c>
      <c r="R792" s="10" t="s">
        <v>4825</v>
      </c>
      <c r="S792" s="11"/>
      <c r="T792" s="6"/>
      <c r="U792" s="24" t="str">
        <f>HYPERLINK("https://media.infra-m.ru/1039/1039263/cover/1039263.jpg", "Обложка")</f>
        <v>Обложка</v>
      </c>
      <c r="V792" s="24" t="str">
        <f>HYPERLINK("https://znanium.ru/catalog/product/1039263", "Ознакомиться")</f>
        <v>Ознакомиться</v>
      </c>
      <c r="W792" s="8" t="s">
        <v>4826</v>
      </c>
      <c r="X792" s="6"/>
      <c r="Y792" s="6"/>
      <c r="Z792" s="6"/>
      <c r="AA792" s="6" t="s">
        <v>68</v>
      </c>
      <c r="AB792" s="8"/>
    </row>
    <row r="793" spans="1:28" s="4" customFormat="1" ht="51.95" customHeight="1">
      <c r="A793" s="5">
        <v>0</v>
      </c>
      <c r="B793" s="6" t="s">
        <v>4827</v>
      </c>
      <c r="C793" s="7">
        <v>2688</v>
      </c>
      <c r="D793" s="8" t="s">
        <v>4828</v>
      </c>
      <c r="E793" s="8" t="s">
        <v>4829</v>
      </c>
      <c r="F793" s="8" t="s">
        <v>4830</v>
      </c>
      <c r="G793" s="6"/>
      <c r="H793" s="6" t="s">
        <v>99</v>
      </c>
      <c r="I793" s="8"/>
      <c r="J793" s="9">
        <v>8</v>
      </c>
      <c r="K793" s="9">
        <v>720</v>
      </c>
      <c r="L793" s="9">
        <v>2011</v>
      </c>
      <c r="M793" s="8" t="s">
        <v>4831</v>
      </c>
      <c r="N793" s="8" t="s">
        <v>42</v>
      </c>
      <c r="O793" s="8" t="s">
        <v>101</v>
      </c>
      <c r="P793" s="6" t="s">
        <v>44</v>
      </c>
      <c r="Q793" s="8" t="s">
        <v>45</v>
      </c>
      <c r="R793" s="10" t="s">
        <v>4832</v>
      </c>
      <c r="S793" s="11"/>
      <c r="T793" s="6"/>
      <c r="U793" s="24" t="str">
        <f>HYPERLINK("https://media.infra-m.ru/0220/0220355/cover/220355.jpg", "Обложка")</f>
        <v>Обложка</v>
      </c>
      <c r="V793" s="24" t="str">
        <f>HYPERLINK("https://znanium.ru/catalog/product/2114273", "Ознакомиться")</f>
        <v>Ознакомиться</v>
      </c>
      <c r="W793" s="8" t="s">
        <v>262</v>
      </c>
      <c r="X793" s="6"/>
      <c r="Y793" s="6"/>
      <c r="Z793" s="6"/>
      <c r="AA793" s="6" t="s">
        <v>94</v>
      </c>
      <c r="AB793" s="8"/>
    </row>
    <row r="794" spans="1:28" s="4" customFormat="1" ht="51.95" customHeight="1">
      <c r="A794" s="5">
        <v>0</v>
      </c>
      <c r="B794" s="6" t="s">
        <v>4833</v>
      </c>
      <c r="C794" s="7">
        <v>2520</v>
      </c>
      <c r="D794" s="8" t="s">
        <v>4834</v>
      </c>
      <c r="E794" s="8" t="s">
        <v>4835</v>
      </c>
      <c r="F794" s="8" t="s">
        <v>4830</v>
      </c>
      <c r="G794" s="6" t="s">
        <v>132</v>
      </c>
      <c r="H794" s="6" t="s">
        <v>99</v>
      </c>
      <c r="I794" s="8"/>
      <c r="J794" s="9">
        <v>1</v>
      </c>
      <c r="K794" s="9">
        <v>448</v>
      </c>
      <c r="L794" s="9">
        <v>2023</v>
      </c>
      <c r="M794" s="8" t="s">
        <v>4836</v>
      </c>
      <c r="N794" s="8" t="s">
        <v>42</v>
      </c>
      <c r="O794" s="8" t="s">
        <v>101</v>
      </c>
      <c r="P794" s="6" t="s">
        <v>44</v>
      </c>
      <c r="Q794" s="8" t="s">
        <v>45</v>
      </c>
      <c r="R794" s="10" t="s">
        <v>4832</v>
      </c>
      <c r="S794" s="11"/>
      <c r="T794" s="6"/>
      <c r="U794" s="24" t="str">
        <f>HYPERLINK("https://media.infra-m.ru/2114/2114273/cover/2114273.jpg", "Обложка")</f>
        <v>Обложка</v>
      </c>
      <c r="V794" s="24" t="str">
        <f>HYPERLINK("https://znanium.ru/catalog/product/2114273", "Ознакомиться")</f>
        <v>Ознакомиться</v>
      </c>
      <c r="W794" s="8" t="s">
        <v>262</v>
      </c>
      <c r="X794" s="6"/>
      <c r="Y794" s="6"/>
      <c r="Z794" s="6"/>
      <c r="AA794" s="6" t="s">
        <v>892</v>
      </c>
      <c r="AB794" s="8"/>
    </row>
    <row r="795" spans="1:28" s="4" customFormat="1" ht="51.95" customHeight="1">
      <c r="A795" s="5">
        <v>0</v>
      </c>
      <c r="B795" s="6" t="s">
        <v>4837</v>
      </c>
      <c r="C795" s="7">
        <v>1517.9</v>
      </c>
      <c r="D795" s="8" t="s">
        <v>4838</v>
      </c>
      <c r="E795" s="8" t="s">
        <v>4839</v>
      </c>
      <c r="F795" s="8" t="s">
        <v>4840</v>
      </c>
      <c r="G795" s="6" t="s">
        <v>132</v>
      </c>
      <c r="H795" s="6" t="s">
        <v>39</v>
      </c>
      <c r="I795" s="8" t="s">
        <v>336</v>
      </c>
      <c r="J795" s="9">
        <v>1</v>
      </c>
      <c r="K795" s="9">
        <v>280</v>
      </c>
      <c r="L795" s="9">
        <v>2023</v>
      </c>
      <c r="M795" s="8" t="s">
        <v>4841</v>
      </c>
      <c r="N795" s="8" t="s">
        <v>42</v>
      </c>
      <c r="O795" s="8" t="s">
        <v>101</v>
      </c>
      <c r="P795" s="6" t="s">
        <v>44</v>
      </c>
      <c r="Q795" s="8" t="s">
        <v>45</v>
      </c>
      <c r="R795" s="10" t="s">
        <v>4842</v>
      </c>
      <c r="S795" s="11"/>
      <c r="T795" s="6"/>
      <c r="U795" s="24" t="str">
        <f>HYPERLINK("https://media.infra-m.ru/1976/1976147/cover/1976147.jpg", "Обложка")</f>
        <v>Обложка</v>
      </c>
      <c r="V795" s="24" t="str">
        <f>HYPERLINK("https://znanium.ru/catalog/product/1018178", "Ознакомиться")</f>
        <v>Ознакомиться</v>
      </c>
      <c r="W795" s="8" t="s">
        <v>103</v>
      </c>
      <c r="X795" s="6"/>
      <c r="Y795" s="6"/>
      <c r="Z795" s="6"/>
      <c r="AA795" s="6" t="s">
        <v>76</v>
      </c>
      <c r="AB795" s="8"/>
    </row>
    <row r="796" spans="1:28" s="4" customFormat="1" ht="51.95" customHeight="1">
      <c r="A796" s="5">
        <v>0</v>
      </c>
      <c r="B796" s="6" t="s">
        <v>4843</v>
      </c>
      <c r="C796" s="13">
        <v>588</v>
      </c>
      <c r="D796" s="8" t="s">
        <v>4844</v>
      </c>
      <c r="E796" s="8" t="s">
        <v>4845</v>
      </c>
      <c r="F796" s="8" t="s">
        <v>4846</v>
      </c>
      <c r="G796" s="6" t="s">
        <v>38</v>
      </c>
      <c r="H796" s="6" t="s">
        <v>99</v>
      </c>
      <c r="I796" s="8"/>
      <c r="J796" s="9">
        <v>1</v>
      </c>
      <c r="K796" s="9">
        <v>92</v>
      </c>
      <c r="L796" s="9">
        <v>2024</v>
      </c>
      <c r="M796" s="8" t="s">
        <v>4847</v>
      </c>
      <c r="N796" s="8" t="s">
        <v>42</v>
      </c>
      <c r="O796" s="8" t="s">
        <v>101</v>
      </c>
      <c r="P796" s="6" t="s">
        <v>44</v>
      </c>
      <c r="Q796" s="8" t="s">
        <v>45</v>
      </c>
      <c r="R796" s="10" t="s">
        <v>2280</v>
      </c>
      <c r="S796" s="11"/>
      <c r="T796" s="6"/>
      <c r="U796" s="24" t="str">
        <f>HYPERLINK("https://media.infra-m.ru/2136/2136104/cover/2136104.jpg", "Обложка")</f>
        <v>Обложка</v>
      </c>
      <c r="V796" s="24" t="str">
        <f>HYPERLINK("https://znanium.ru/catalog/product/2136104", "Ознакомиться")</f>
        <v>Ознакомиться</v>
      </c>
      <c r="W796" s="8"/>
      <c r="X796" s="6"/>
      <c r="Y796" s="6"/>
      <c r="Z796" s="6"/>
      <c r="AA796" s="6" t="s">
        <v>111</v>
      </c>
      <c r="AB796" s="8"/>
    </row>
    <row r="797" spans="1:28" s="4" customFormat="1" ht="51.95" customHeight="1">
      <c r="A797" s="5">
        <v>0</v>
      </c>
      <c r="B797" s="6" t="s">
        <v>4848</v>
      </c>
      <c r="C797" s="13">
        <v>972</v>
      </c>
      <c r="D797" s="8" t="s">
        <v>4849</v>
      </c>
      <c r="E797" s="8" t="s">
        <v>4850</v>
      </c>
      <c r="F797" s="8" t="s">
        <v>4851</v>
      </c>
      <c r="G797" s="6" t="s">
        <v>81</v>
      </c>
      <c r="H797" s="6" t="s">
        <v>39</v>
      </c>
      <c r="I797" s="8" t="s">
        <v>336</v>
      </c>
      <c r="J797" s="9">
        <v>1</v>
      </c>
      <c r="K797" s="9">
        <v>237</v>
      </c>
      <c r="L797" s="9">
        <v>2020</v>
      </c>
      <c r="M797" s="8" t="s">
        <v>4852</v>
      </c>
      <c r="N797" s="8" t="s">
        <v>42</v>
      </c>
      <c r="O797" s="8" t="s">
        <v>101</v>
      </c>
      <c r="P797" s="6" t="s">
        <v>44</v>
      </c>
      <c r="Q797" s="8" t="s">
        <v>1152</v>
      </c>
      <c r="R797" s="10" t="s">
        <v>4842</v>
      </c>
      <c r="S797" s="11" t="s">
        <v>4853</v>
      </c>
      <c r="T797" s="6"/>
      <c r="U797" s="24" t="str">
        <f>HYPERLINK("https://media.infra-m.ru/1036/1036534/cover/1036534.jpg", "Обложка")</f>
        <v>Обложка</v>
      </c>
      <c r="V797" s="24" t="str">
        <f>HYPERLINK("https://znanium.ru/catalog/product/1036534", "Ознакомиться")</f>
        <v>Ознакомиться</v>
      </c>
      <c r="W797" s="8" t="s">
        <v>103</v>
      </c>
      <c r="X797" s="6"/>
      <c r="Y797" s="6"/>
      <c r="Z797" s="6"/>
      <c r="AA797" s="6" t="s">
        <v>377</v>
      </c>
      <c r="AB797" s="8"/>
    </row>
    <row r="798" spans="1:28" s="4" customFormat="1" ht="51.95" customHeight="1">
      <c r="A798" s="5">
        <v>0</v>
      </c>
      <c r="B798" s="6" t="s">
        <v>4854</v>
      </c>
      <c r="C798" s="7">
        <v>2032.8</v>
      </c>
      <c r="D798" s="8" t="s">
        <v>4855</v>
      </c>
      <c r="E798" s="8" t="s">
        <v>4856</v>
      </c>
      <c r="F798" s="8" t="s">
        <v>4857</v>
      </c>
      <c r="G798" s="6" t="s">
        <v>81</v>
      </c>
      <c r="H798" s="6" t="s">
        <v>99</v>
      </c>
      <c r="I798" s="8"/>
      <c r="J798" s="9">
        <v>1</v>
      </c>
      <c r="K798" s="9">
        <v>368</v>
      </c>
      <c r="L798" s="9">
        <v>2024</v>
      </c>
      <c r="M798" s="8" t="s">
        <v>4858</v>
      </c>
      <c r="N798" s="8" t="s">
        <v>42</v>
      </c>
      <c r="O798" s="8" t="s">
        <v>101</v>
      </c>
      <c r="P798" s="6" t="s">
        <v>44</v>
      </c>
      <c r="Q798" s="8" t="s">
        <v>45</v>
      </c>
      <c r="R798" s="10" t="s">
        <v>3721</v>
      </c>
      <c r="S798" s="11"/>
      <c r="T798" s="6"/>
      <c r="U798" s="24" t="str">
        <f>HYPERLINK("https://media.infra-m.ru/2133/2133777/cover/2133777.jpg", "Обложка")</f>
        <v>Обложка</v>
      </c>
      <c r="V798" s="24" t="str">
        <f>HYPERLINK("https://znanium.ru/catalog/product/1877342", "Ознакомиться")</f>
        <v>Ознакомиться</v>
      </c>
      <c r="W798" s="8" t="s">
        <v>4859</v>
      </c>
      <c r="X798" s="6"/>
      <c r="Y798" s="6"/>
      <c r="Z798" s="6"/>
      <c r="AA798" s="6" t="s">
        <v>76</v>
      </c>
      <c r="AB798" s="8"/>
    </row>
    <row r="799" spans="1:28" s="4" customFormat="1" ht="42" customHeight="1">
      <c r="A799" s="5">
        <v>0</v>
      </c>
      <c r="B799" s="6" t="s">
        <v>4860</v>
      </c>
      <c r="C799" s="7">
        <v>3762</v>
      </c>
      <c r="D799" s="8" t="s">
        <v>4861</v>
      </c>
      <c r="E799" s="8" t="s">
        <v>4862</v>
      </c>
      <c r="F799" s="8" t="s">
        <v>4863</v>
      </c>
      <c r="G799" s="6" t="s">
        <v>4864</v>
      </c>
      <c r="H799" s="6" t="s">
        <v>99</v>
      </c>
      <c r="I799" s="8"/>
      <c r="J799" s="9">
        <v>1</v>
      </c>
      <c r="K799" s="9">
        <v>1120</v>
      </c>
      <c r="L799" s="9">
        <v>2021</v>
      </c>
      <c r="M799" s="8" t="s">
        <v>4865</v>
      </c>
      <c r="N799" s="8" t="s">
        <v>42</v>
      </c>
      <c r="O799" s="8" t="s">
        <v>101</v>
      </c>
      <c r="P799" s="6" t="s">
        <v>2010</v>
      </c>
      <c r="Q799" s="8"/>
      <c r="R799" s="10" t="s">
        <v>2490</v>
      </c>
      <c r="S799" s="11"/>
      <c r="T799" s="6"/>
      <c r="U799" s="24" t="str">
        <f>HYPERLINK("https://media.infra-m.ru/1816/1816622/cover/1816622.jpg", "Обложка")</f>
        <v>Обложка</v>
      </c>
      <c r="V799" s="24" t="str">
        <f>HYPERLINK("https://znanium.ru/catalog/product/1574609", "Ознакомиться")</f>
        <v>Ознакомиться</v>
      </c>
      <c r="W799" s="8"/>
      <c r="X799" s="6"/>
      <c r="Y799" s="6"/>
      <c r="Z799" s="6"/>
      <c r="AA799" s="6" t="s">
        <v>199</v>
      </c>
      <c r="AB799" s="8"/>
    </row>
    <row r="800" spans="1:28" s="4" customFormat="1" ht="51.95" customHeight="1">
      <c r="A800" s="5">
        <v>0</v>
      </c>
      <c r="B800" s="6" t="s">
        <v>4866</v>
      </c>
      <c r="C800" s="7">
        <v>4950</v>
      </c>
      <c r="D800" s="8" t="s">
        <v>4867</v>
      </c>
      <c r="E800" s="8" t="s">
        <v>4868</v>
      </c>
      <c r="F800" s="8" t="s">
        <v>4863</v>
      </c>
      <c r="G800" s="6" t="s">
        <v>4864</v>
      </c>
      <c r="H800" s="6" t="s">
        <v>99</v>
      </c>
      <c r="I800" s="8"/>
      <c r="J800" s="9">
        <v>1</v>
      </c>
      <c r="K800" s="9">
        <v>1168</v>
      </c>
      <c r="L800" s="9">
        <v>2022</v>
      </c>
      <c r="M800" s="8" t="s">
        <v>4869</v>
      </c>
      <c r="N800" s="8" t="s">
        <v>42</v>
      </c>
      <c r="O800" s="8" t="s">
        <v>101</v>
      </c>
      <c r="P800" s="6" t="s">
        <v>2010</v>
      </c>
      <c r="Q800" s="8" t="s">
        <v>45</v>
      </c>
      <c r="R800" s="10" t="s">
        <v>3266</v>
      </c>
      <c r="S800" s="11"/>
      <c r="T800" s="6"/>
      <c r="U800" s="24" t="str">
        <f>HYPERLINK("https://media.infra-m.ru/1894/1894390/cover/1894390.jpg", "Обложка")</f>
        <v>Обложка</v>
      </c>
      <c r="V800" s="12"/>
      <c r="W800" s="8" t="s">
        <v>223</v>
      </c>
      <c r="X800" s="6"/>
      <c r="Y800" s="6"/>
      <c r="Z800" s="6"/>
      <c r="AA800" s="6" t="s">
        <v>111</v>
      </c>
      <c r="AB800" s="8"/>
    </row>
    <row r="801" spans="1:28" s="4" customFormat="1" ht="51.95" customHeight="1">
      <c r="A801" s="5">
        <v>0</v>
      </c>
      <c r="B801" s="6" t="s">
        <v>4870</v>
      </c>
      <c r="C801" s="7">
        <v>5544</v>
      </c>
      <c r="D801" s="8" t="s">
        <v>4871</v>
      </c>
      <c r="E801" s="8" t="s">
        <v>4872</v>
      </c>
      <c r="F801" s="8"/>
      <c r="G801" s="6" t="s">
        <v>4864</v>
      </c>
      <c r="H801" s="6" t="s">
        <v>99</v>
      </c>
      <c r="I801" s="8"/>
      <c r="J801" s="9">
        <v>1</v>
      </c>
      <c r="K801" s="9">
        <v>1216</v>
      </c>
      <c r="L801" s="9">
        <v>2023</v>
      </c>
      <c r="M801" s="8" t="s">
        <v>4873</v>
      </c>
      <c r="N801" s="8" t="s">
        <v>42</v>
      </c>
      <c r="O801" s="8" t="s">
        <v>101</v>
      </c>
      <c r="P801" s="6" t="s">
        <v>2010</v>
      </c>
      <c r="Q801" s="8" t="s">
        <v>45</v>
      </c>
      <c r="R801" s="10" t="s">
        <v>4874</v>
      </c>
      <c r="S801" s="11"/>
      <c r="T801" s="6"/>
      <c r="U801" s="24" t="str">
        <f>HYPERLINK("https://media.infra-m.ru/2082/2082108/cover/2082108.jpg", "Обложка")</f>
        <v>Обложка</v>
      </c>
      <c r="V801" s="24" t="str">
        <f>HYPERLINK("https://znanium.ru/catalog/product/2037405", "Ознакомиться")</f>
        <v>Ознакомиться</v>
      </c>
      <c r="W801" s="8"/>
      <c r="X801" s="6"/>
      <c r="Y801" s="6"/>
      <c r="Z801" s="6"/>
      <c r="AA801" s="6" t="s">
        <v>119</v>
      </c>
      <c r="AB801" s="8"/>
    </row>
    <row r="802" spans="1:28" s="4" customFormat="1" ht="42" customHeight="1">
      <c r="A802" s="5">
        <v>0</v>
      </c>
      <c r="B802" s="6" t="s">
        <v>4875</v>
      </c>
      <c r="C802" s="13">
        <v>996</v>
      </c>
      <c r="D802" s="8" t="s">
        <v>4876</v>
      </c>
      <c r="E802" s="8" t="s">
        <v>4877</v>
      </c>
      <c r="F802" s="8" t="s">
        <v>4878</v>
      </c>
      <c r="G802" s="6" t="s">
        <v>38</v>
      </c>
      <c r="H802" s="6" t="s">
        <v>39</v>
      </c>
      <c r="I802" s="8" t="s">
        <v>40</v>
      </c>
      <c r="J802" s="9">
        <v>1</v>
      </c>
      <c r="K802" s="9">
        <v>184</v>
      </c>
      <c r="L802" s="9">
        <v>2023</v>
      </c>
      <c r="M802" s="8" t="s">
        <v>4879</v>
      </c>
      <c r="N802" s="8" t="s">
        <v>42</v>
      </c>
      <c r="O802" s="8" t="s">
        <v>101</v>
      </c>
      <c r="P802" s="6" t="s">
        <v>44</v>
      </c>
      <c r="Q802" s="8" t="s">
        <v>45</v>
      </c>
      <c r="R802" s="10" t="s">
        <v>564</v>
      </c>
      <c r="S802" s="11"/>
      <c r="T802" s="6"/>
      <c r="U802" s="24" t="str">
        <f>HYPERLINK("https://media.infra-m.ru/1905/1905648/cover/1905648.jpg", "Обложка")</f>
        <v>Обложка</v>
      </c>
      <c r="V802" s="24" t="str">
        <f>HYPERLINK("https://znanium.ru/catalog/product/1905648", "Ознакомиться")</f>
        <v>Ознакомиться</v>
      </c>
      <c r="W802" s="8" t="s">
        <v>803</v>
      </c>
      <c r="X802" s="6"/>
      <c r="Y802" s="6"/>
      <c r="Z802" s="6"/>
      <c r="AA802" s="6" t="s">
        <v>76</v>
      </c>
      <c r="AB802" s="8"/>
    </row>
    <row r="803" spans="1:28" s="4" customFormat="1" ht="51.95" customHeight="1">
      <c r="A803" s="5">
        <v>0</v>
      </c>
      <c r="B803" s="6" t="s">
        <v>4880</v>
      </c>
      <c r="C803" s="13">
        <v>436.8</v>
      </c>
      <c r="D803" s="8" t="s">
        <v>4881</v>
      </c>
      <c r="E803" s="8" t="s">
        <v>4882</v>
      </c>
      <c r="F803" s="8"/>
      <c r="G803" s="6" t="s">
        <v>38</v>
      </c>
      <c r="H803" s="6" t="s">
        <v>39</v>
      </c>
      <c r="I803" s="8" t="s">
        <v>1893</v>
      </c>
      <c r="J803" s="9">
        <v>1</v>
      </c>
      <c r="K803" s="9">
        <v>70</v>
      </c>
      <c r="L803" s="9">
        <v>2026</v>
      </c>
      <c r="M803" s="8" t="s">
        <v>4883</v>
      </c>
      <c r="N803" s="8" t="s">
        <v>42</v>
      </c>
      <c r="O803" s="8" t="s">
        <v>101</v>
      </c>
      <c r="P803" s="6" t="s">
        <v>1895</v>
      </c>
      <c r="Q803" s="8" t="s">
        <v>3884</v>
      </c>
      <c r="R803" s="10" t="s">
        <v>4832</v>
      </c>
      <c r="S803" s="11"/>
      <c r="T803" s="6"/>
      <c r="U803" s="24" t="str">
        <f>HYPERLINK("https://media.infra-m.ru/2216/2216930/cover/2216930.jpg", "Обложка")</f>
        <v>Обложка</v>
      </c>
      <c r="V803" s="24" t="str">
        <f>HYPERLINK("https://znanium.ru/catalog/product/2170991", "Ознакомиться")</f>
        <v>Ознакомиться</v>
      </c>
      <c r="W803" s="8"/>
      <c r="X803" s="6"/>
      <c r="Y803" s="6"/>
      <c r="Z803" s="6"/>
      <c r="AA803" s="6" t="s">
        <v>4884</v>
      </c>
      <c r="AB803" s="8"/>
    </row>
    <row r="804" spans="1:28" s="4" customFormat="1" ht="51.95" customHeight="1">
      <c r="A804" s="5">
        <v>0</v>
      </c>
      <c r="B804" s="6" t="s">
        <v>4885</v>
      </c>
      <c r="C804" s="13">
        <v>828</v>
      </c>
      <c r="D804" s="8" t="s">
        <v>4886</v>
      </c>
      <c r="E804" s="8" t="s">
        <v>4887</v>
      </c>
      <c r="F804" s="8" t="s">
        <v>1891</v>
      </c>
      <c r="G804" s="6" t="s">
        <v>38</v>
      </c>
      <c r="H804" s="6" t="s">
        <v>39</v>
      </c>
      <c r="I804" s="8"/>
      <c r="J804" s="9">
        <v>1</v>
      </c>
      <c r="K804" s="9">
        <v>206</v>
      </c>
      <c r="L804" s="9">
        <v>2020</v>
      </c>
      <c r="M804" s="8" t="s">
        <v>4888</v>
      </c>
      <c r="N804" s="8" t="s">
        <v>42</v>
      </c>
      <c r="O804" s="8" t="s">
        <v>101</v>
      </c>
      <c r="P804" s="6" t="s">
        <v>268</v>
      </c>
      <c r="Q804" s="8" t="s">
        <v>45</v>
      </c>
      <c r="R804" s="10" t="s">
        <v>4832</v>
      </c>
      <c r="S804" s="11"/>
      <c r="T804" s="6"/>
      <c r="U804" s="24" t="str">
        <f>HYPERLINK("https://media.infra-m.ru/1063/1063459/cover/1063459.jpg", "Обложка")</f>
        <v>Обложка</v>
      </c>
      <c r="V804" s="24" t="str">
        <f>HYPERLINK("https://znanium.ru/catalog/product/2192386", "Ознакомиться")</f>
        <v>Ознакомиться</v>
      </c>
      <c r="W804" s="8"/>
      <c r="X804" s="6"/>
      <c r="Y804" s="6"/>
      <c r="Z804" s="6"/>
      <c r="AA804" s="6" t="s">
        <v>4889</v>
      </c>
      <c r="AB804" s="8"/>
    </row>
    <row r="805" spans="1:28" s="4" customFormat="1" ht="51.95" customHeight="1">
      <c r="A805" s="5">
        <v>0</v>
      </c>
      <c r="B805" s="6" t="s">
        <v>4890</v>
      </c>
      <c r="C805" s="7">
        <v>1164</v>
      </c>
      <c r="D805" s="8" t="s">
        <v>4891</v>
      </c>
      <c r="E805" s="8" t="s">
        <v>4892</v>
      </c>
      <c r="F805" s="8" t="s">
        <v>1891</v>
      </c>
      <c r="G805" s="6" t="s">
        <v>38</v>
      </c>
      <c r="H805" s="6" t="s">
        <v>39</v>
      </c>
      <c r="I805" s="8" t="s">
        <v>1893</v>
      </c>
      <c r="J805" s="9">
        <v>1</v>
      </c>
      <c r="K805" s="9">
        <v>256</v>
      </c>
      <c r="L805" s="9">
        <v>2022</v>
      </c>
      <c r="M805" s="8" t="s">
        <v>4893</v>
      </c>
      <c r="N805" s="8" t="s">
        <v>42</v>
      </c>
      <c r="O805" s="8" t="s">
        <v>101</v>
      </c>
      <c r="P805" s="6" t="s">
        <v>268</v>
      </c>
      <c r="Q805" s="8" t="s">
        <v>45</v>
      </c>
      <c r="R805" s="10" t="s">
        <v>4832</v>
      </c>
      <c r="S805" s="11"/>
      <c r="T805" s="6"/>
      <c r="U805" s="24" t="str">
        <f>HYPERLINK("https://media.infra-m.ru/1851/1851674/cover/1851674.jpg", "Обложка")</f>
        <v>Обложка</v>
      </c>
      <c r="V805" s="24" t="str">
        <f>HYPERLINK("https://znanium.ru/catalog/product/2192386", "Ознакомиться")</f>
        <v>Ознакомиться</v>
      </c>
      <c r="W805" s="8"/>
      <c r="X805" s="6"/>
      <c r="Y805" s="6"/>
      <c r="Z805" s="6"/>
      <c r="AA805" s="6" t="s">
        <v>4602</v>
      </c>
      <c r="AB805" s="8"/>
    </row>
    <row r="806" spans="1:28" s="4" customFormat="1" ht="51.95" customHeight="1">
      <c r="A806" s="5">
        <v>0</v>
      </c>
      <c r="B806" s="6" t="s">
        <v>4894</v>
      </c>
      <c r="C806" s="7">
        <v>1600.8</v>
      </c>
      <c r="D806" s="8" t="s">
        <v>4895</v>
      </c>
      <c r="E806" s="8" t="s">
        <v>4896</v>
      </c>
      <c r="F806" s="8" t="s">
        <v>1891</v>
      </c>
      <c r="G806" s="6" t="s">
        <v>38</v>
      </c>
      <c r="H806" s="6" t="s">
        <v>39</v>
      </c>
      <c r="I806" s="8" t="s">
        <v>1893</v>
      </c>
      <c r="J806" s="9">
        <v>1</v>
      </c>
      <c r="K806" s="9">
        <v>256</v>
      </c>
      <c r="L806" s="9">
        <v>2025</v>
      </c>
      <c r="M806" s="8" t="s">
        <v>4897</v>
      </c>
      <c r="N806" s="8" t="s">
        <v>42</v>
      </c>
      <c r="O806" s="8" t="s">
        <v>101</v>
      </c>
      <c r="P806" s="6" t="s">
        <v>268</v>
      </c>
      <c r="Q806" s="8" t="s">
        <v>45</v>
      </c>
      <c r="R806" s="10" t="s">
        <v>4832</v>
      </c>
      <c r="S806" s="11"/>
      <c r="T806" s="6"/>
      <c r="U806" s="24" t="str">
        <f>HYPERLINK("https://media.infra-m.ru/2201/2201772/cover/2201772.jpg", "Обложка")</f>
        <v>Обложка</v>
      </c>
      <c r="V806" s="24" t="str">
        <f>HYPERLINK("https://znanium.ru/catalog/product/2192386", "Ознакомиться")</f>
        <v>Ознакомиться</v>
      </c>
      <c r="W806" s="8"/>
      <c r="X806" s="6"/>
      <c r="Y806" s="6"/>
      <c r="Z806" s="6"/>
      <c r="AA806" s="6" t="s">
        <v>4898</v>
      </c>
      <c r="AB806" s="8"/>
    </row>
    <row r="807" spans="1:28" s="4" customFormat="1" ht="44.1" customHeight="1">
      <c r="A807" s="5">
        <v>0</v>
      </c>
      <c r="B807" s="6" t="s">
        <v>4899</v>
      </c>
      <c r="C807" s="7">
        <v>1077.5999999999999</v>
      </c>
      <c r="D807" s="8" t="s">
        <v>4900</v>
      </c>
      <c r="E807" s="8" t="s">
        <v>4901</v>
      </c>
      <c r="F807" s="8" t="s">
        <v>1891</v>
      </c>
      <c r="G807" s="6" t="s">
        <v>81</v>
      </c>
      <c r="H807" s="6" t="s">
        <v>99</v>
      </c>
      <c r="I807" s="8"/>
      <c r="J807" s="9">
        <v>1</v>
      </c>
      <c r="K807" s="9">
        <v>136</v>
      </c>
      <c r="L807" s="9">
        <v>2026</v>
      </c>
      <c r="M807" s="8" t="s">
        <v>4902</v>
      </c>
      <c r="N807" s="8" t="s">
        <v>42</v>
      </c>
      <c r="O807" s="8" t="s">
        <v>101</v>
      </c>
      <c r="P807" s="6" t="s">
        <v>1895</v>
      </c>
      <c r="Q807" s="8" t="s">
        <v>287</v>
      </c>
      <c r="R807" s="10" t="s">
        <v>4903</v>
      </c>
      <c r="S807" s="11"/>
      <c r="T807" s="6"/>
      <c r="U807" s="24" t="str">
        <f>HYPERLINK("https://media.infra-m.ru/2226/2226524/cover/2226524.jpg", "Обложка")</f>
        <v>Обложка</v>
      </c>
      <c r="V807" s="24" t="str">
        <f>HYPERLINK("https://znanium.ru/catalog/product/2133845", "Ознакомиться")</f>
        <v>Ознакомиться</v>
      </c>
      <c r="W807" s="8"/>
      <c r="X807" s="6"/>
      <c r="Y807" s="6"/>
      <c r="Z807" s="6"/>
      <c r="AA807" s="6" t="s">
        <v>199</v>
      </c>
      <c r="AB807" s="8"/>
    </row>
    <row r="808" spans="1:28" s="4" customFormat="1" ht="51.95" customHeight="1">
      <c r="A808" s="5">
        <v>0</v>
      </c>
      <c r="B808" s="6" t="s">
        <v>4904</v>
      </c>
      <c r="C808" s="13">
        <v>720</v>
      </c>
      <c r="D808" s="8" t="s">
        <v>4905</v>
      </c>
      <c r="E808" s="8" t="s">
        <v>4906</v>
      </c>
      <c r="F808" s="8" t="s">
        <v>1891</v>
      </c>
      <c r="G808" s="6" t="s">
        <v>132</v>
      </c>
      <c r="H808" s="6" t="s">
        <v>99</v>
      </c>
      <c r="I808" s="8"/>
      <c r="J808" s="9">
        <v>1</v>
      </c>
      <c r="K808" s="9">
        <v>160</v>
      </c>
      <c r="L808" s="9">
        <v>2024</v>
      </c>
      <c r="M808" s="8" t="s">
        <v>4907</v>
      </c>
      <c r="N808" s="8" t="s">
        <v>42</v>
      </c>
      <c r="O808" s="8" t="s">
        <v>101</v>
      </c>
      <c r="P808" s="6" t="s">
        <v>1895</v>
      </c>
      <c r="Q808" s="8" t="s">
        <v>1058</v>
      </c>
      <c r="R808" s="10" t="s">
        <v>4908</v>
      </c>
      <c r="S808" s="11"/>
      <c r="T808" s="6"/>
      <c r="U808" s="24" t="str">
        <f>HYPERLINK("https://media.infra-m.ru/2134/2134102/cover/2134102.jpg", "Обложка")</f>
        <v>Обложка</v>
      </c>
      <c r="V808" s="24" t="str">
        <f>HYPERLINK("https://znanium.ru/catalog/product/2134102", "Ознакомиться")</f>
        <v>Ознакомиться</v>
      </c>
      <c r="W808" s="8"/>
      <c r="X808" s="6"/>
      <c r="Y808" s="6"/>
      <c r="Z808" s="6"/>
      <c r="AA808" s="6" t="s">
        <v>58</v>
      </c>
      <c r="AB808" s="8"/>
    </row>
    <row r="809" spans="1:28" s="4" customFormat="1" ht="51.95" customHeight="1">
      <c r="A809" s="5">
        <v>0</v>
      </c>
      <c r="B809" s="6" t="s">
        <v>4909</v>
      </c>
      <c r="C809" s="13">
        <v>384</v>
      </c>
      <c r="D809" s="8" t="s">
        <v>4910</v>
      </c>
      <c r="E809" s="8" t="s">
        <v>4911</v>
      </c>
      <c r="F809" s="8" t="s">
        <v>1891</v>
      </c>
      <c r="G809" s="6" t="s">
        <v>38</v>
      </c>
      <c r="H809" s="6" t="s">
        <v>99</v>
      </c>
      <c r="I809" s="8"/>
      <c r="J809" s="9">
        <v>1</v>
      </c>
      <c r="K809" s="9">
        <v>120</v>
      </c>
      <c r="L809" s="9">
        <v>2023</v>
      </c>
      <c r="M809" s="8" t="s">
        <v>4912</v>
      </c>
      <c r="N809" s="8" t="s">
        <v>42</v>
      </c>
      <c r="O809" s="8" t="s">
        <v>101</v>
      </c>
      <c r="P809" s="6" t="s">
        <v>1895</v>
      </c>
      <c r="Q809" s="8" t="s">
        <v>1058</v>
      </c>
      <c r="R809" s="10" t="s">
        <v>4913</v>
      </c>
      <c r="S809" s="11"/>
      <c r="T809" s="6"/>
      <c r="U809" s="24" t="str">
        <f>HYPERLINK("https://media.infra-m.ru/1974/1974286/cover/1974286.jpg", "Обложка")</f>
        <v>Обложка</v>
      </c>
      <c r="V809" s="24" t="str">
        <f>HYPERLINK("https://znanium.ru/catalog/product/1906531", "Ознакомиться")</f>
        <v>Ознакомиться</v>
      </c>
      <c r="W809" s="8"/>
      <c r="X809" s="6"/>
      <c r="Y809" s="6"/>
      <c r="Z809" s="6"/>
      <c r="AA809" s="6" t="s">
        <v>168</v>
      </c>
      <c r="AB809" s="8"/>
    </row>
    <row r="810" spans="1:28" s="4" customFormat="1" ht="51.95" customHeight="1">
      <c r="A810" s="5">
        <v>0</v>
      </c>
      <c r="B810" s="6" t="s">
        <v>4914</v>
      </c>
      <c r="C810" s="7">
        <v>1452</v>
      </c>
      <c r="D810" s="8" t="s">
        <v>4915</v>
      </c>
      <c r="E810" s="8" t="s">
        <v>4916</v>
      </c>
      <c r="F810" s="8" t="s">
        <v>4917</v>
      </c>
      <c r="G810" s="6" t="s">
        <v>38</v>
      </c>
      <c r="H810" s="6" t="s">
        <v>39</v>
      </c>
      <c r="I810" s="8" t="s">
        <v>40</v>
      </c>
      <c r="J810" s="9">
        <v>1</v>
      </c>
      <c r="K810" s="9">
        <v>242</v>
      </c>
      <c r="L810" s="9">
        <v>2023</v>
      </c>
      <c r="M810" s="8" t="s">
        <v>4918</v>
      </c>
      <c r="N810" s="8" t="s">
        <v>284</v>
      </c>
      <c r="O810" s="8" t="s">
        <v>2265</v>
      </c>
      <c r="P810" s="6" t="s">
        <v>44</v>
      </c>
      <c r="Q810" s="8" t="s">
        <v>45</v>
      </c>
      <c r="R810" s="10" t="s">
        <v>4919</v>
      </c>
      <c r="S810" s="11"/>
      <c r="T810" s="6"/>
      <c r="U810" s="24" t="str">
        <f>HYPERLINK("https://media.infra-m.ru/1981/1981690/cover/1981690.jpg", "Обложка")</f>
        <v>Обложка</v>
      </c>
      <c r="V810" s="24" t="str">
        <f>HYPERLINK("https://znanium.ru/catalog/product/1981690", "Ознакомиться")</f>
        <v>Ознакомиться</v>
      </c>
      <c r="W810" s="8" t="s">
        <v>2991</v>
      </c>
      <c r="X810" s="6"/>
      <c r="Y810" s="6"/>
      <c r="Z810" s="6"/>
      <c r="AA810" s="6" t="s">
        <v>119</v>
      </c>
      <c r="AB810" s="8"/>
    </row>
    <row r="811" spans="1:28" s="4" customFormat="1" ht="42" customHeight="1">
      <c r="A811" s="5">
        <v>0</v>
      </c>
      <c r="B811" s="6" t="s">
        <v>4920</v>
      </c>
      <c r="C811" s="7">
        <v>1432.8</v>
      </c>
      <c r="D811" s="8" t="s">
        <v>4921</v>
      </c>
      <c r="E811" s="8" t="s">
        <v>4922</v>
      </c>
      <c r="F811" s="8" t="s">
        <v>4923</v>
      </c>
      <c r="G811" s="6" t="s">
        <v>81</v>
      </c>
      <c r="H811" s="6" t="s">
        <v>39</v>
      </c>
      <c r="I811" s="8" t="s">
        <v>40</v>
      </c>
      <c r="J811" s="9">
        <v>1</v>
      </c>
      <c r="K811" s="9">
        <v>248</v>
      </c>
      <c r="L811" s="9">
        <v>2024</v>
      </c>
      <c r="M811" s="8" t="s">
        <v>4924</v>
      </c>
      <c r="N811" s="8" t="s">
        <v>284</v>
      </c>
      <c r="O811" s="8" t="s">
        <v>328</v>
      </c>
      <c r="P811" s="6" t="s">
        <v>44</v>
      </c>
      <c r="Q811" s="8" t="s">
        <v>45</v>
      </c>
      <c r="R811" s="10" t="s">
        <v>4925</v>
      </c>
      <c r="S811" s="11"/>
      <c r="T811" s="6"/>
      <c r="U811" s="24" t="str">
        <f>HYPERLINK("https://media.infra-m.ru/2118/2118594/cover/2118594.jpg", "Обложка")</f>
        <v>Обложка</v>
      </c>
      <c r="V811" s="24" t="str">
        <f>HYPERLINK("https://znanium.ru/catalog/product/2118086", "Ознакомиться")</f>
        <v>Ознакомиться</v>
      </c>
      <c r="W811" s="8" t="s">
        <v>4926</v>
      </c>
      <c r="X811" s="6"/>
      <c r="Y811" s="6"/>
      <c r="Z811" s="6"/>
      <c r="AA811" s="6" t="s">
        <v>199</v>
      </c>
      <c r="AB811" s="8"/>
    </row>
    <row r="812" spans="1:28" s="4" customFormat="1" ht="42" customHeight="1">
      <c r="A812" s="5">
        <v>0</v>
      </c>
      <c r="B812" s="6" t="s">
        <v>4927</v>
      </c>
      <c r="C812" s="7">
        <v>1068</v>
      </c>
      <c r="D812" s="8" t="s">
        <v>4928</v>
      </c>
      <c r="E812" s="8" t="s">
        <v>4929</v>
      </c>
      <c r="F812" s="8" t="s">
        <v>697</v>
      </c>
      <c r="G812" s="6" t="s">
        <v>38</v>
      </c>
      <c r="H812" s="6" t="s">
        <v>39</v>
      </c>
      <c r="I812" s="8" t="s">
        <v>40</v>
      </c>
      <c r="J812" s="9">
        <v>1</v>
      </c>
      <c r="K812" s="9">
        <v>166</v>
      </c>
      <c r="L812" s="9">
        <v>2025</v>
      </c>
      <c r="M812" s="8" t="s">
        <v>4930</v>
      </c>
      <c r="N812" s="8" t="s">
        <v>54</v>
      </c>
      <c r="O812" s="8" t="s">
        <v>91</v>
      </c>
      <c r="P812" s="6" t="s">
        <v>44</v>
      </c>
      <c r="Q812" s="8" t="s">
        <v>45</v>
      </c>
      <c r="R812" s="10" t="s">
        <v>3174</v>
      </c>
      <c r="S812" s="11"/>
      <c r="T812" s="6"/>
      <c r="U812" s="24" t="str">
        <f>HYPERLINK("https://media.infra-m.ru/2186/2186799/cover/2186799.jpg", "Обложка")</f>
        <v>Обложка</v>
      </c>
      <c r="V812" s="24" t="str">
        <f>HYPERLINK("https://znanium.ru/catalog/product/2186799", "Ознакомиться")</f>
        <v>Ознакомиться</v>
      </c>
      <c r="W812" s="8" t="s">
        <v>699</v>
      </c>
      <c r="X812" s="6" t="s">
        <v>492</v>
      </c>
      <c r="Y812" s="6"/>
      <c r="Z812" s="6"/>
      <c r="AA812" s="6" t="s">
        <v>159</v>
      </c>
      <c r="AB812" s="8" t="s">
        <v>1101</v>
      </c>
    </row>
    <row r="813" spans="1:28" s="4" customFormat="1" ht="51.95" customHeight="1">
      <c r="A813" s="5">
        <v>0</v>
      </c>
      <c r="B813" s="6" t="s">
        <v>4931</v>
      </c>
      <c r="C813" s="13">
        <v>900</v>
      </c>
      <c r="D813" s="8" t="s">
        <v>4932</v>
      </c>
      <c r="E813" s="8" t="s">
        <v>4933</v>
      </c>
      <c r="F813" s="8" t="s">
        <v>4934</v>
      </c>
      <c r="G813" s="6" t="s">
        <v>81</v>
      </c>
      <c r="H813" s="6" t="s">
        <v>39</v>
      </c>
      <c r="I813" s="8" t="s">
        <v>40</v>
      </c>
      <c r="J813" s="9">
        <v>1</v>
      </c>
      <c r="K813" s="9">
        <v>186</v>
      </c>
      <c r="L813" s="9">
        <v>2022</v>
      </c>
      <c r="M813" s="8" t="s">
        <v>4935</v>
      </c>
      <c r="N813" s="8" t="s">
        <v>42</v>
      </c>
      <c r="O813" s="8" t="s">
        <v>101</v>
      </c>
      <c r="P813" s="6" t="s">
        <v>44</v>
      </c>
      <c r="Q813" s="8" t="s">
        <v>45</v>
      </c>
      <c r="R813" s="10" t="s">
        <v>1329</v>
      </c>
      <c r="S813" s="11"/>
      <c r="T813" s="6"/>
      <c r="U813" s="24" t="str">
        <f>HYPERLINK("https://media.infra-m.ru/1867/1867921/cover/1867921.jpg", "Обложка")</f>
        <v>Обложка</v>
      </c>
      <c r="V813" s="24" t="str">
        <f>HYPERLINK("https://znanium.ru/catalog/product/1817755", "Ознакомиться")</f>
        <v>Ознакомиться</v>
      </c>
      <c r="W813" s="8" t="s">
        <v>3188</v>
      </c>
      <c r="X813" s="6"/>
      <c r="Y813" s="6"/>
      <c r="Z813" s="6"/>
      <c r="AA813" s="6" t="s">
        <v>111</v>
      </c>
      <c r="AB813" s="8"/>
    </row>
    <row r="814" spans="1:28" s="4" customFormat="1" ht="44.1" customHeight="1">
      <c r="A814" s="5">
        <v>0</v>
      </c>
      <c r="B814" s="6" t="s">
        <v>4936</v>
      </c>
      <c r="C814" s="7">
        <v>1008</v>
      </c>
      <c r="D814" s="8" t="s">
        <v>4937</v>
      </c>
      <c r="E814" s="8" t="s">
        <v>4938</v>
      </c>
      <c r="F814" s="8" t="s">
        <v>4939</v>
      </c>
      <c r="G814" s="6" t="s">
        <v>38</v>
      </c>
      <c r="H814" s="6" t="s">
        <v>39</v>
      </c>
      <c r="I814" s="8" t="s">
        <v>40</v>
      </c>
      <c r="J814" s="9">
        <v>1</v>
      </c>
      <c r="K814" s="9">
        <v>178</v>
      </c>
      <c r="L814" s="9">
        <v>2023</v>
      </c>
      <c r="M814" s="8" t="s">
        <v>4940</v>
      </c>
      <c r="N814" s="8" t="s">
        <v>42</v>
      </c>
      <c r="O814" s="8" t="s">
        <v>189</v>
      </c>
      <c r="P814" s="6" t="s">
        <v>44</v>
      </c>
      <c r="Q814" s="8" t="s">
        <v>45</v>
      </c>
      <c r="R814" s="10" t="s">
        <v>4941</v>
      </c>
      <c r="S814" s="11"/>
      <c r="T814" s="6"/>
      <c r="U814" s="24" t="str">
        <f>HYPERLINK("https://media.infra-m.ru/1907/1907066/cover/1907066.jpg", "Обложка")</f>
        <v>Обложка</v>
      </c>
      <c r="V814" s="24" t="str">
        <f>HYPERLINK("https://znanium.ru/catalog/product/1907066", "Ознакомиться")</f>
        <v>Ознакомиться</v>
      </c>
      <c r="W814" s="8" t="s">
        <v>565</v>
      </c>
      <c r="X814" s="6"/>
      <c r="Y814" s="6"/>
      <c r="Z814" s="6"/>
      <c r="AA814" s="6" t="s">
        <v>119</v>
      </c>
      <c r="AB814" s="8"/>
    </row>
    <row r="815" spans="1:28" s="4" customFormat="1" ht="51.95" customHeight="1">
      <c r="A815" s="5">
        <v>0</v>
      </c>
      <c r="B815" s="6" t="s">
        <v>4942</v>
      </c>
      <c r="C815" s="7">
        <v>1992</v>
      </c>
      <c r="D815" s="8" t="s">
        <v>4943</v>
      </c>
      <c r="E815" s="8" t="s">
        <v>4944</v>
      </c>
      <c r="F815" s="8" t="s">
        <v>3375</v>
      </c>
      <c r="G815" s="6" t="s">
        <v>132</v>
      </c>
      <c r="H815" s="6" t="s">
        <v>39</v>
      </c>
      <c r="I815" s="8" t="s">
        <v>40</v>
      </c>
      <c r="J815" s="9">
        <v>1</v>
      </c>
      <c r="K815" s="9">
        <v>436</v>
      </c>
      <c r="L815" s="9">
        <v>2022</v>
      </c>
      <c r="M815" s="8" t="s">
        <v>4945</v>
      </c>
      <c r="N815" s="8" t="s">
        <v>42</v>
      </c>
      <c r="O815" s="8" t="s">
        <v>1002</v>
      </c>
      <c r="P815" s="6" t="s">
        <v>44</v>
      </c>
      <c r="Q815" s="8" t="s">
        <v>45</v>
      </c>
      <c r="R815" s="10" t="s">
        <v>4946</v>
      </c>
      <c r="S815" s="11"/>
      <c r="T815" s="6"/>
      <c r="U815" s="24" t="str">
        <f>HYPERLINK("https://media.infra-m.ru/1836/1836959/cover/1836959.jpg", "Обложка")</f>
        <v>Обложка</v>
      </c>
      <c r="V815" s="24" t="str">
        <f>HYPERLINK("https://znanium.ru/catalog/product/1836959", "Ознакомиться")</f>
        <v>Ознакомиться</v>
      </c>
      <c r="W815" s="8" t="s">
        <v>3378</v>
      </c>
      <c r="X815" s="6"/>
      <c r="Y815" s="6"/>
      <c r="Z815" s="6"/>
      <c r="AA815" s="6" t="s">
        <v>111</v>
      </c>
      <c r="AB815" s="8"/>
    </row>
    <row r="816" spans="1:28" s="4" customFormat="1" ht="51.95" customHeight="1">
      <c r="A816" s="5">
        <v>0</v>
      </c>
      <c r="B816" s="6" t="s">
        <v>4947</v>
      </c>
      <c r="C816" s="7">
        <v>2520</v>
      </c>
      <c r="D816" s="8" t="s">
        <v>4948</v>
      </c>
      <c r="E816" s="8" t="s">
        <v>4949</v>
      </c>
      <c r="F816" s="8" t="s">
        <v>4950</v>
      </c>
      <c r="G816" s="6" t="s">
        <v>132</v>
      </c>
      <c r="H816" s="6" t="s">
        <v>39</v>
      </c>
      <c r="I816" s="8" t="s">
        <v>40</v>
      </c>
      <c r="J816" s="9">
        <v>1</v>
      </c>
      <c r="K816" s="9">
        <v>419</v>
      </c>
      <c r="L816" s="9">
        <v>2025</v>
      </c>
      <c r="M816" s="8" t="s">
        <v>4951</v>
      </c>
      <c r="N816" s="8" t="s">
        <v>42</v>
      </c>
      <c r="O816" s="8" t="s">
        <v>101</v>
      </c>
      <c r="P816" s="6" t="s">
        <v>44</v>
      </c>
      <c r="Q816" s="8" t="s">
        <v>45</v>
      </c>
      <c r="R816" s="10" t="s">
        <v>4952</v>
      </c>
      <c r="S816" s="11"/>
      <c r="T816" s="6"/>
      <c r="U816" s="24" t="str">
        <f>HYPERLINK("https://media.infra-m.ru/2138/2138104/cover/2138104.jpg", "Обложка")</f>
        <v>Обложка</v>
      </c>
      <c r="V816" s="24" t="str">
        <f>HYPERLINK("https://znanium.ru/catalog/product/2138104", "Ознакомиться")</f>
        <v>Ознакомиться</v>
      </c>
      <c r="W816" s="8" t="s">
        <v>4953</v>
      </c>
      <c r="X816" s="6"/>
      <c r="Y816" s="6"/>
      <c r="Z816" s="6"/>
      <c r="AA816" s="6" t="s">
        <v>159</v>
      </c>
      <c r="AB816" s="8"/>
    </row>
    <row r="817" spans="1:28" s="4" customFormat="1" ht="42" customHeight="1">
      <c r="A817" s="5">
        <v>0</v>
      </c>
      <c r="B817" s="6" t="s">
        <v>4954</v>
      </c>
      <c r="C817" s="7">
        <v>1272</v>
      </c>
      <c r="D817" s="8" t="s">
        <v>4955</v>
      </c>
      <c r="E817" s="8" t="s">
        <v>4956</v>
      </c>
      <c r="F817" s="8" t="s">
        <v>4957</v>
      </c>
      <c r="G817" s="6" t="s">
        <v>132</v>
      </c>
      <c r="H817" s="6" t="s">
        <v>39</v>
      </c>
      <c r="I817" s="8" t="s">
        <v>40</v>
      </c>
      <c r="J817" s="9">
        <v>1</v>
      </c>
      <c r="K817" s="9">
        <v>235</v>
      </c>
      <c r="L817" s="9">
        <v>2023</v>
      </c>
      <c r="M817" s="8" t="s">
        <v>4958</v>
      </c>
      <c r="N817" s="8" t="s">
        <v>284</v>
      </c>
      <c r="O817" s="8" t="s">
        <v>383</v>
      </c>
      <c r="P817" s="6" t="s">
        <v>44</v>
      </c>
      <c r="Q817" s="8" t="s">
        <v>45</v>
      </c>
      <c r="R817" s="10" t="s">
        <v>4959</v>
      </c>
      <c r="S817" s="11"/>
      <c r="T817" s="6"/>
      <c r="U817" s="24" t="str">
        <f>HYPERLINK("https://media.infra-m.ru/1921/1921360/cover/1921360.jpg", "Обложка")</f>
        <v>Обложка</v>
      </c>
      <c r="V817" s="24" t="str">
        <f>HYPERLINK("https://znanium.ru/catalog/product/1921360", "Ознакомиться")</f>
        <v>Ознакомиться</v>
      </c>
      <c r="W817" s="8" t="s">
        <v>1457</v>
      </c>
      <c r="X817" s="6"/>
      <c r="Y817" s="6"/>
      <c r="Z817" s="6"/>
      <c r="AA817" s="6" t="s">
        <v>119</v>
      </c>
      <c r="AB817" s="8"/>
    </row>
    <row r="818" spans="1:28" s="4" customFormat="1" ht="42" customHeight="1">
      <c r="A818" s="5">
        <v>0</v>
      </c>
      <c r="B818" s="6" t="s">
        <v>4960</v>
      </c>
      <c r="C818" s="7">
        <v>2100</v>
      </c>
      <c r="D818" s="8" t="s">
        <v>4961</v>
      </c>
      <c r="E818" s="8" t="s">
        <v>4962</v>
      </c>
      <c r="F818" s="8" t="s">
        <v>4963</v>
      </c>
      <c r="G818" s="6" t="s">
        <v>38</v>
      </c>
      <c r="H818" s="6" t="s">
        <v>39</v>
      </c>
      <c r="I818" s="8" t="s">
        <v>40</v>
      </c>
      <c r="J818" s="9">
        <v>1</v>
      </c>
      <c r="K818" s="9">
        <v>350</v>
      </c>
      <c r="L818" s="9">
        <v>2025</v>
      </c>
      <c r="M818" s="8" t="s">
        <v>4964</v>
      </c>
      <c r="N818" s="8" t="s">
        <v>54</v>
      </c>
      <c r="O818" s="8" t="s">
        <v>91</v>
      </c>
      <c r="P818" s="6" t="s">
        <v>44</v>
      </c>
      <c r="Q818" s="8" t="s">
        <v>45</v>
      </c>
      <c r="R818" s="10" t="s">
        <v>4965</v>
      </c>
      <c r="S818" s="11"/>
      <c r="T818" s="6"/>
      <c r="U818" s="24" t="str">
        <f>HYPERLINK("https://media.infra-m.ru/2184/2184893/cover/2184893.jpg", "Обложка")</f>
        <v>Обложка</v>
      </c>
      <c r="V818" s="24" t="str">
        <f>HYPERLINK("https://znanium.ru/catalog/product/2184893", "Ознакомиться")</f>
        <v>Ознакомиться</v>
      </c>
      <c r="W818" s="8" t="s">
        <v>4966</v>
      </c>
      <c r="X818" s="6"/>
      <c r="Y818" s="6"/>
      <c r="Z818" s="6"/>
      <c r="AA818" s="6" t="s">
        <v>369</v>
      </c>
      <c r="AB818" s="8"/>
    </row>
    <row r="819" spans="1:28" s="4" customFormat="1" ht="42" customHeight="1">
      <c r="A819" s="5">
        <v>0</v>
      </c>
      <c r="B819" s="6" t="s">
        <v>4967</v>
      </c>
      <c r="C819" s="7">
        <v>2544</v>
      </c>
      <c r="D819" s="8" t="s">
        <v>4968</v>
      </c>
      <c r="E819" s="8" t="s">
        <v>4969</v>
      </c>
      <c r="F819" s="8" t="s">
        <v>4970</v>
      </c>
      <c r="G819" s="6" t="s">
        <v>132</v>
      </c>
      <c r="H819" s="6" t="s">
        <v>39</v>
      </c>
      <c r="I819" s="8" t="s">
        <v>40</v>
      </c>
      <c r="J819" s="9">
        <v>1</v>
      </c>
      <c r="K819" s="9">
        <v>450</v>
      </c>
      <c r="L819" s="9">
        <v>2024</v>
      </c>
      <c r="M819" s="8" t="s">
        <v>4971</v>
      </c>
      <c r="N819" s="8" t="s">
        <v>220</v>
      </c>
      <c r="O819" s="8" t="s">
        <v>221</v>
      </c>
      <c r="P819" s="6" t="s">
        <v>44</v>
      </c>
      <c r="Q819" s="8" t="s">
        <v>45</v>
      </c>
      <c r="R819" s="10" t="s">
        <v>4972</v>
      </c>
      <c r="S819" s="11"/>
      <c r="T819" s="6" t="s">
        <v>1080</v>
      </c>
      <c r="U819" s="24" t="str">
        <f>HYPERLINK("https://media.infra-m.ru/2108/2108589/cover/2108589.jpg", "Обложка")</f>
        <v>Обложка</v>
      </c>
      <c r="V819" s="24" t="str">
        <f>HYPERLINK("https://znanium.ru/catalog/product/2108589", "Ознакомиться")</f>
        <v>Ознакомиться</v>
      </c>
      <c r="W819" s="8" t="s">
        <v>4973</v>
      </c>
      <c r="X819" s="6"/>
      <c r="Y819" s="6"/>
      <c r="Z819" s="6"/>
      <c r="AA819" s="6" t="s">
        <v>58</v>
      </c>
      <c r="AB819" s="8" t="s">
        <v>255</v>
      </c>
    </row>
    <row r="820" spans="1:28" s="4" customFormat="1" ht="51.95" customHeight="1">
      <c r="A820" s="5">
        <v>0</v>
      </c>
      <c r="B820" s="6" t="s">
        <v>4974</v>
      </c>
      <c r="C820" s="7">
        <v>1624.8</v>
      </c>
      <c r="D820" s="8" t="s">
        <v>4975</v>
      </c>
      <c r="E820" s="8" t="s">
        <v>4976</v>
      </c>
      <c r="F820" s="8" t="s">
        <v>4977</v>
      </c>
      <c r="G820" s="6" t="s">
        <v>38</v>
      </c>
      <c r="H820" s="6" t="s">
        <v>99</v>
      </c>
      <c r="I820" s="8"/>
      <c r="J820" s="9">
        <v>1</v>
      </c>
      <c r="K820" s="9">
        <v>288</v>
      </c>
      <c r="L820" s="9">
        <v>2024</v>
      </c>
      <c r="M820" s="8" t="s">
        <v>4978</v>
      </c>
      <c r="N820" s="8" t="s">
        <v>42</v>
      </c>
      <c r="O820" s="8" t="s">
        <v>101</v>
      </c>
      <c r="P820" s="6" t="s">
        <v>44</v>
      </c>
      <c r="Q820" s="8" t="s">
        <v>1152</v>
      </c>
      <c r="R820" s="10" t="s">
        <v>1329</v>
      </c>
      <c r="S820" s="11"/>
      <c r="T820" s="6"/>
      <c r="U820" s="24" t="str">
        <f>HYPERLINK("https://media.infra-m.ru/2139/2139106/cover/2139106.jpg", "Обложка")</f>
        <v>Обложка</v>
      </c>
      <c r="V820" s="24" t="str">
        <f>HYPERLINK("https://znanium.ru/catalog/product/989362", "Ознакомиться")</f>
        <v>Ознакомиться</v>
      </c>
      <c r="W820" s="8" t="s">
        <v>418</v>
      </c>
      <c r="X820" s="6"/>
      <c r="Y820" s="6"/>
      <c r="Z820" s="6"/>
      <c r="AA820" s="6" t="s">
        <v>377</v>
      </c>
      <c r="AB820" s="8"/>
    </row>
    <row r="821" spans="1:28" s="4" customFormat="1" ht="42" customHeight="1">
      <c r="A821" s="5">
        <v>0</v>
      </c>
      <c r="B821" s="6" t="s">
        <v>4979</v>
      </c>
      <c r="C821" s="13">
        <v>929.9</v>
      </c>
      <c r="D821" s="8" t="s">
        <v>4980</v>
      </c>
      <c r="E821" s="8" t="s">
        <v>4981</v>
      </c>
      <c r="F821" s="8" t="s">
        <v>3952</v>
      </c>
      <c r="G821" s="6" t="s">
        <v>38</v>
      </c>
      <c r="H821" s="6" t="s">
        <v>39</v>
      </c>
      <c r="I821" s="8" t="s">
        <v>40</v>
      </c>
      <c r="J821" s="9">
        <v>1</v>
      </c>
      <c r="K821" s="9">
        <v>172</v>
      </c>
      <c r="L821" s="9">
        <v>2023</v>
      </c>
      <c r="M821" s="8" t="s">
        <v>4982</v>
      </c>
      <c r="N821" s="8" t="s">
        <v>42</v>
      </c>
      <c r="O821" s="8" t="s">
        <v>189</v>
      </c>
      <c r="P821" s="6" t="s">
        <v>44</v>
      </c>
      <c r="Q821" s="8" t="s">
        <v>45</v>
      </c>
      <c r="R821" s="10" t="s">
        <v>573</v>
      </c>
      <c r="S821" s="11"/>
      <c r="T821" s="6"/>
      <c r="U821" s="24" t="str">
        <f>HYPERLINK("https://media.infra-m.ru/1965/1965775/cover/1965775.jpg", "Обложка")</f>
        <v>Обложка</v>
      </c>
      <c r="V821" s="24" t="str">
        <f>HYPERLINK("https://znanium.ru/catalog/product/1016622", "Ознакомиться")</f>
        <v>Ознакомиться</v>
      </c>
      <c r="W821" s="8" t="s">
        <v>3955</v>
      </c>
      <c r="X821" s="6"/>
      <c r="Y821" s="6"/>
      <c r="Z821" s="6"/>
      <c r="AA821" s="6" t="s">
        <v>76</v>
      </c>
      <c r="AB821" s="8"/>
    </row>
    <row r="822" spans="1:28" s="4" customFormat="1" ht="42" customHeight="1">
      <c r="A822" s="5">
        <v>0</v>
      </c>
      <c r="B822" s="6" t="s">
        <v>4983</v>
      </c>
      <c r="C822" s="13">
        <v>520.79999999999995</v>
      </c>
      <c r="D822" s="8" t="s">
        <v>4984</v>
      </c>
      <c r="E822" s="8" t="s">
        <v>4985</v>
      </c>
      <c r="F822" s="8" t="s">
        <v>4986</v>
      </c>
      <c r="G822" s="6" t="s">
        <v>38</v>
      </c>
      <c r="H822" s="6" t="s">
        <v>99</v>
      </c>
      <c r="I822" s="8"/>
      <c r="J822" s="9">
        <v>1</v>
      </c>
      <c r="K822" s="9">
        <v>80</v>
      </c>
      <c r="L822" s="9">
        <v>2025</v>
      </c>
      <c r="M822" s="8" t="s">
        <v>4987</v>
      </c>
      <c r="N822" s="8" t="s">
        <v>42</v>
      </c>
      <c r="O822" s="8" t="s">
        <v>101</v>
      </c>
      <c r="P822" s="6" t="s">
        <v>44</v>
      </c>
      <c r="Q822" s="8" t="s">
        <v>45</v>
      </c>
      <c r="R822" s="10" t="s">
        <v>874</v>
      </c>
      <c r="S822" s="11"/>
      <c r="T822" s="6"/>
      <c r="U822" s="24" t="str">
        <f>HYPERLINK("https://media.infra-m.ru/2192/2192151/cover/2192151.jpg", "Обложка")</f>
        <v>Обложка</v>
      </c>
      <c r="V822" s="24" t="str">
        <f>HYPERLINK("https://znanium.ru/catalog/product/2041652", "Ознакомиться")</f>
        <v>Ознакомиться</v>
      </c>
      <c r="W822" s="8" t="s">
        <v>418</v>
      </c>
      <c r="X822" s="6"/>
      <c r="Y822" s="6"/>
      <c r="Z822" s="6"/>
      <c r="AA822" s="6" t="s">
        <v>377</v>
      </c>
      <c r="AB822" s="8"/>
    </row>
    <row r="823" spans="1:28" s="4" customFormat="1" ht="51.95" customHeight="1">
      <c r="A823" s="5">
        <v>0</v>
      </c>
      <c r="B823" s="6" t="s">
        <v>4988</v>
      </c>
      <c r="C823" s="13">
        <v>881.9</v>
      </c>
      <c r="D823" s="8" t="s">
        <v>4989</v>
      </c>
      <c r="E823" s="8" t="s">
        <v>4990</v>
      </c>
      <c r="F823" s="8" t="s">
        <v>4991</v>
      </c>
      <c r="G823" s="6" t="s">
        <v>38</v>
      </c>
      <c r="H823" s="6" t="s">
        <v>39</v>
      </c>
      <c r="I823" s="8" t="s">
        <v>40</v>
      </c>
      <c r="J823" s="9">
        <v>1</v>
      </c>
      <c r="K823" s="9">
        <v>234</v>
      </c>
      <c r="L823" s="9">
        <v>2018</v>
      </c>
      <c r="M823" s="8" t="s">
        <v>4992</v>
      </c>
      <c r="N823" s="8" t="s">
        <v>42</v>
      </c>
      <c r="O823" s="8" t="s">
        <v>189</v>
      </c>
      <c r="P823" s="6" t="s">
        <v>44</v>
      </c>
      <c r="Q823" s="8" t="s">
        <v>45</v>
      </c>
      <c r="R823" s="10" t="s">
        <v>375</v>
      </c>
      <c r="S823" s="11"/>
      <c r="T823" s="6"/>
      <c r="U823" s="24" t="str">
        <f>HYPERLINK("https://media.infra-m.ru/0980/0980414/cover/980414.jpg", "Обложка")</f>
        <v>Обложка</v>
      </c>
      <c r="V823" s="24" t="str">
        <f>HYPERLINK("https://znanium.ru/catalog/product/1239531", "Ознакомиться")</f>
        <v>Ознакомиться</v>
      </c>
      <c r="W823" s="8" t="s">
        <v>207</v>
      </c>
      <c r="X823" s="6"/>
      <c r="Y823" s="6"/>
      <c r="Z823" s="6"/>
      <c r="AA823" s="6" t="s">
        <v>377</v>
      </c>
      <c r="AB823" s="8"/>
    </row>
    <row r="824" spans="1:28" s="4" customFormat="1" ht="51.95" customHeight="1">
      <c r="A824" s="5">
        <v>0</v>
      </c>
      <c r="B824" s="6" t="s">
        <v>4993</v>
      </c>
      <c r="C824" s="13">
        <v>820.8</v>
      </c>
      <c r="D824" s="8" t="s">
        <v>4994</v>
      </c>
      <c r="E824" s="8" t="s">
        <v>4995</v>
      </c>
      <c r="F824" s="8" t="s">
        <v>3426</v>
      </c>
      <c r="G824" s="6" t="s">
        <v>38</v>
      </c>
      <c r="H824" s="6" t="s">
        <v>39</v>
      </c>
      <c r="I824" s="8" t="s">
        <v>40</v>
      </c>
      <c r="J824" s="9">
        <v>1</v>
      </c>
      <c r="K824" s="9">
        <v>128</v>
      </c>
      <c r="L824" s="9">
        <v>2026</v>
      </c>
      <c r="M824" s="8" t="s">
        <v>4996</v>
      </c>
      <c r="N824" s="8" t="s">
        <v>54</v>
      </c>
      <c r="O824" s="8" t="s">
        <v>91</v>
      </c>
      <c r="P824" s="6" t="s">
        <v>44</v>
      </c>
      <c r="Q824" s="8" t="s">
        <v>45</v>
      </c>
      <c r="R824" s="10" t="s">
        <v>92</v>
      </c>
      <c r="S824" s="11"/>
      <c r="T824" s="6"/>
      <c r="U824" s="24" t="str">
        <f>HYPERLINK("https://media.infra-m.ru/2222/2222249/cover/2222249.jpg", "Обложка")</f>
        <v>Обложка</v>
      </c>
      <c r="V824" s="24" t="str">
        <f>HYPERLINK("https://znanium.ru/catalog/product/1846443", "Ознакомиться")</f>
        <v>Ознакомиться</v>
      </c>
      <c r="W824" s="8" t="s">
        <v>699</v>
      </c>
      <c r="X824" s="6"/>
      <c r="Y824" s="6"/>
      <c r="Z824" s="6"/>
      <c r="AA824" s="6" t="s">
        <v>127</v>
      </c>
      <c r="AB824" s="8"/>
    </row>
    <row r="825" spans="1:28" s="4" customFormat="1" ht="51.95" customHeight="1">
      <c r="A825" s="5">
        <v>0</v>
      </c>
      <c r="B825" s="6" t="s">
        <v>4997</v>
      </c>
      <c r="C825" s="13">
        <v>856.8</v>
      </c>
      <c r="D825" s="8" t="s">
        <v>4998</v>
      </c>
      <c r="E825" s="8" t="s">
        <v>4999</v>
      </c>
      <c r="F825" s="8" t="s">
        <v>5000</v>
      </c>
      <c r="G825" s="6" t="s">
        <v>38</v>
      </c>
      <c r="H825" s="6" t="s">
        <v>39</v>
      </c>
      <c r="I825" s="8" t="s">
        <v>40</v>
      </c>
      <c r="J825" s="9">
        <v>1</v>
      </c>
      <c r="K825" s="9">
        <v>156</v>
      </c>
      <c r="L825" s="9">
        <v>2024</v>
      </c>
      <c r="M825" s="8" t="s">
        <v>5001</v>
      </c>
      <c r="N825" s="8" t="s">
        <v>42</v>
      </c>
      <c r="O825" s="8" t="s">
        <v>246</v>
      </c>
      <c r="P825" s="6" t="s">
        <v>44</v>
      </c>
      <c r="Q825" s="8" t="s">
        <v>45</v>
      </c>
      <c r="R825" s="10" t="s">
        <v>360</v>
      </c>
      <c r="S825" s="11"/>
      <c r="T825" s="6" t="s">
        <v>1080</v>
      </c>
      <c r="U825" s="24" t="str">
        <f>HYPERLINK("https://media.infra-m.ru/2106/2106746/cover/2106746.jpg", "Обложка")</f>
        <v>Обложка</v>
      </c>
      <c r="V825" s="24" t="str">
        <f>HYPERLINK("https://znanium.ru/catalog/product/2106198", "Ознакомиться")</f>
        <v>Ознакомиться</v>
      </c>
      <c r="W825" s="8" t="s">
        <v>2080</v>
      </c>
      <c r="X825" s="6"/>
      <c r="Y825" s="6"/>
      <c r="Z825" s="6"/>
      <c r="AA825" s="6" t="s">
        <v>290</v>
      </c>
      <c r="AB825" s="8"/>
    </row>
    <row r="826" spans="1:28" s="4" customFormat="1" ht="44.1" customHeight="1">
      <c r="A826" s="5">
        <v>0</v>
      </c>
      <c r="B826" s="6" t="s">
        <v>5002</v>
      </c>
      <c r="C826" s="7">
        <v>1380</v>
      </c>
      <c r="D826" s="8" t="s">
        <v>5003</v>
      </c>
      <c r="E826" s="8" t="s">
        <v>5004</v>
      </c>
      <c r="F826" s="8" t="s">
        <v>5005</v>
      </c>
      <c r="G826" s="6" t="s">
        <v>132</v>
      </c>
      <c r="H826" s="6" t="s">
        <v>39</v>
      </c>
      <c r="I826" s="8" t="s">
        <v>40</v>
      </c>
      <c r="J826" s="9">
        <v>1</v>
      </c>
      <c r="K826" s="9">
        <v>229</v>
      </c>
      <c r="L826" s="9">
        <v>2024</v>
      </c>
      <c r="M826" s="8" t="s">
        <v>5006</v>
      </c>
      <c r="N826" s="8" t="s">
        <v>42</v>
      </c>
      <c r="O826" s="8" t="s">
        <v>189</v>
      </c>
      <c r="P826" s="6" t="s">
        <v>44</v>
      </c>
      <c r="Q826" s="8" t="s">
        <v>45</v>
      </c>
      <c r="R826" s="10" t="s">
        <v>5007</v>
      </c>
      <c r="S826" s="11"/>
      <c r="T826" s="6"/>
      <c r="U826" s="24" t="str">
        <f>HYPERLINK("https://media.infra-m.ru/2141/2141614/cover/2141614.jpg", "Обложка")</f>
        <v>Обложка</v>
      </c>
      <c r="V826" s="24" t="str">
        <f>HYPERLINK("https://znanium.ru/catalog/product/2141614", "Ознакомиться")</f>
        <v>Ознакомиться</v>
      </c>
      <c r="W826" s="8" t="s">
        <v>5008</v>
      </c>
      <c r="X826" s="6"/>
      <c r="Y826" s="6"/>
      <c r="Z826" s="6"/>
      <c r="AA826" s="6" t="s">
        <v>58</v>
      </c>
      <c r="AB826" s="8"/>
    </row>
    <row r="827" spans="1:28" s="4" customFormat="1" ht="44.1" customHeight="1">
      <c r="A827" s="5">
        <v>0</v>
      </c>
      <c r="B827" s="6" t="s">
        <v>5009</v>
      </c>
      <c r="C827" s="7">
        <v>1145.9000000000001</v>
      </c>
      <c r="D827" s="8" t="s">
        <v>5010</v>
      </c>
      <c r="E827" s="8" t="s">
        <v>5011</v>
      </c>
      <c r="F827" s="8" t="s">
        <v>5012</v>
      </c>
      <c r="G827" s="6" t="s">
        <v>38</v>
      </c>
      <c r="H827" s="6" t="s">
        <v>39</v>
      </c>
      <c r="I827" s="8" t="s">
        <v>40</v>
      </c>
      <c r="J827" s="9">
        <v>1</v>
      </c>
      <c r="K827" s="9">
        <v>213</v>
      </c>
      <c r="L827" s="9">
        <v>2023</v>
      </c>
      <c r="M827" s="8" t="s">
        <v>5013</v>
      </c>
      <c r="N827" s="8" t="s">
        <v>42</v>
      </c>
      <c r="O827" s="8" t="s">
        <v>189</v>
      </c>
      <c r="P827" s="6" t="s">
        <v>44</v>
      </c>
      <c r="Q827" s="8" t="s">
        <v>45</v>
      </c>
      <c r="R827" s="10" t="s">
        <v>5014</v>
      </c>
      <c r="S827" s="11"/>
      <c r="T827" s="6" t="s">
        <v>1080</v>
      </c>
      <c r="U827" s="24" t="str">
        <f>HYPERLINK("https://media.infra-m.ru/1976/1976158/cover/1976158.jpg", "Обложка")</f>
        <v>Обложка</v>
      </c>
      <c r="V827" s="24" t="str">
        <f>HYPERLINK("https://znanium.ru/catalog/product/1023826", "Ознакомиться")</f>
        <v>Ознакомиться</v>
      </c>
      <c r="W827" s="8" t="s">
        <v>207</v>
      </c>
      <c r="X827" s="6"/>
      <c r="Y827" s="6"/>
      <c r="Z827" s="6"/>
      <c r="AA827" s="6" t="s">
        <v>168</v>
      </c>
      <c r="AB827" s="8"/>
    </row>
    <row r="828" spans="1:28" s="4" customFormat="1" ht="44.1" customHeight="1">
      <c r="A828" s="5">
        <v>0</v>
      </c>
      <c r="B828" s="6" t="s">
        <v>5015</v>
      </c>
      <c r="C828" s="7">
        <v>1637.9</v>
      </c>
      <c r="D828" s="8" t="s">
        <v>5016</v>
      </c>
      <c r="E828" s="8" t="s">
        <v>5017</v>
      </c>
      <c r="F828" s="8" t="s">
        <v>5018</v>
      </c>
      <c r="G828" s="6" t="s">
        <v>132</v>
      </c>
      <c r="H828" s="6" t="s">
        <v>39</v>
      </c>
      <c r="I828" s="8" t="s">
        <v>344</v>
      </c>
      <c r="J828" s="9">
        <v>1</v>
      </c>
      <c r="K828" s="9">
        <v>303</v>
      </c>
      <c r="L828" s="9">
        <v>2023</v>
      </c>
      <c r="M828" s="8" t="s">
        <v>5019</v>
      </c>
      <c r="N828" s="8" t="s">
        <v>284</v>
      </c>
      <c r="O828" s="8" t="s">
        <v>328</v>
      </c>
      <c r="P828" s="6" t="s">
        <v>44</v>
      </c>
      <c r="Q828" s="8" t="s">
        <v>45</v>
      </c>
      <c r="R828" s="10" t="s">
        <v>5020</v>
      </c>
      <c r="S828" s="11"/>
      <c r="T828" s="6"/>
      <c r="U828" s="24" t="str">
        <f>HYPERLINK("https://media.infra-m.ru/2006/2006888/cover/2006888.jpg", "Обложка")</f>
        <v>Обложка</v>
      </c>
      <c r="V828" s="12"/>
      <c r="W828" s="8" t="s">
        <v>346</v>
      </c>
      <c r="X828" s="6"/>
      <c r="Y828" s="6"/>
      <c r="Z828" s="6"/>
      <c r="AA828" s="6" t="s">
        <v>68</v>
      </c>
      <c r="AB828" s="8"/>
    </row>
    <row r="829" spans="1:28" s="4" customFormat="1" ht="51.95" customHeight="1">
      <c r="A829" s="5">
        <v>0</v>
      </c>
      <c r="B829" s="6" t="s">
        <v>5021</v>
      </c>
      <c r="C829" s="7">
        <v>3592.8</v>
      </c>
      <c r="D829" s="8" t="s">
        <v>5022</v>
      </c>
      <c r="E829" s="8" t="s">
        <v>5023</v>
      </c>
      <c r="F829" s="8" t="s">
        <v>5024</v>
      </c>
      <c r="G829" s="6" t="s">
        <v>132</v>
      </c>
      <c r="H829" s="6" t="s">
        <v>99</v>
      </c>
      <c r="I829" s="8"/>
      <c r="J829" s="9">
        <v>1</v>
      </c>
      <c r="K829" s="9">
        <v>664</v>
      </c>
      <c r="L829" s="9">
        <v>2025</v>
      </c>
      <c r="M829" s="8" t="s">
        <v>5025</v>
      </c>
      <c r="N829" s="8" t="s">
        <v>42</v>
      </c>
      <c r="O829" s="8" t="s">
        <v>101</v>
      </c>
      <c r="P829" s="6" t="s">
        <v>44</v>
      </c>
      <c r="Q829" s="8" t="s">
        <v>45</v>
      </c>
      <c r="R829" s="10" t="s">
        <v>5026</v>
      </c>
      <c r="S829" s="11"/>
      <c r="T829" s="6"/>
      <c r="U829" s="24" t="str">
        <f>HYPERLINK("https://media.infra-m.ru/2208/2208436/cover/2208436.jpg", "Обложка")</f>
        <v>Обложка</v>
      </c>
      <c r="V829" s="24" t="str">
        <f>HYPERLINK("https://znanium.ru/catalog/product/2129522", "Ознакомиться")</f>
        <v>Ознакомиться</v>
      </c>
      <c r="W829" s="8" t="s">
        <v>418</v>
      </c>
      <c r="X829" s="6"/>
      <c r="Y829" s="6"/>
      <c r="Z829" s="6"/>
      <c r="AA829" s="6" t="s">
        <v>111</v>
      </c>
      <c r="AB829" s="8"/>
    </row>
    <row r="830" spans="1:28" s="4" customFormat="1" ht="42" customHeight="1">
      <c r="A830" s="5">
        <v>0</v>
      </c>
      <c r="B830" s="6" t="s">
        <v>5027</v>
      </c>
      <c r="C830" s="13">
        <v>900</v>
      </c>
      <c r="D830" s="8" t="s">
        <v>5028</v>
      </c>
      <c r="E830" s="8" t="s">
        <v>5029</v>
      </c>
      <c r="F830" s="8" t="s">
        <v>5030</v>
      </c>
      <c r="G830" s="6" t="s">
        <v>38</v>
      </c>
      <c r="H830" s="6" t="s">
        <v>39</v>
      </c>
      <c r="I830" s="8" t="s">
        <v>40</v>
      </c>
      <c r="J830" s="9">
        <v>1</v>
      </c>
      <c r="K830" s="9">
        <v>183</v>
      </c>
      <c r="L830" s="9">
        <v>2021</v>
      </c>
      <c r="M830" s="8" t="s">
        <v>5031</v>
      </c>
      <c r="N830" s="8" t="s">
        <v>42</v>
      </c>
      <c r="O830" s="8" t="s">
        <v>189</v>
      </c>
      <c r="P830" s="6" t="s">
        <v>44</v>
      </c>
      <c r="Q830" s="8" t="s">
        <v>45</v>
      </c>
      <c r="R830" s="10" t="s">
        <v>1100</v>
      </c>
      <c r="S830" s="11"/>
      <c r="T830" s="6"/>
      <c r="U830" s="24" t="str">
        <f>HYPERLINK("https://media.infra-m.ru/1370/1370669/cover/1370669.jpg", "Обложка")</f>
        <v>Обложка</v>
      </c>
      <c r="V830" s="24" t="str">
        <f>HYPERLINK("https://znanium.ru/catalog/product/1370669", "Ознакомиться")</f>
        <v>Ознакомиться</v>
      </c>
      <c r="W830" s="8" t="s">
        <v>207</v>
      </c>
      <c r="X830" s="6"/>
      <c r="Y830" s="6"/>
      <c r="Z830" s="6"/>
      <c r="AA830" s="6" t="s">
        <v>199</v>
      </c>
      <c r="AB830" s="8"/>
    </row>
    <row r="831" spans="1:28" s="4" customFormat="1" ht="44.1" customHeight="1">
      <c r="A831" s="5">
        <v>0</v>
      </c>
      <c r="B831" s="6" t="s">
        <v>5032</v>
      </c>
      <c r="C831" s="7">
        <v>1332</v>
      </c>
      <c r="D831" s="8" t="s">
        <v>5033</v>
      </c>
      <c r="E831" s="8" t="s">
        <v>5034</v>
      </c>
      <c r="F831" s="8" t="s">
        <v>5035</v>
      </c>
      <c r="G831" s="6" t="s">
        <v>38</v>
      </c>
      <c r="H831" s="6" t="s">
        <v>39</v>
      </c>
      <c r="I831" s="8" t="s">
        <v>40</v>
      </c>
      <c r="J831" s="9">
        <v>1</v>
      </c>
      <c r="K831" s="9">
        <v>217</v>
      </c>
      <c r="L831" s="9">
        <v>2025</v>
      </c>
      <c r="M831" s="8" t="s">
        <v>5036</v>
      </c>
      <c r="N831" s="8" t="s">
        <v>54</v>
      </c>
      <c r="O831" s="8" t="s">
        <v>55</v>
      </c>
      <c r="P831" s="6" t="s">
        <v>44</v>
      </c>
      <c r="Q831" s="8" t="s">
        <v>45</v>
      </c>
      <c r="R831" s="10" t="s">
        <v>5037</v>
      </c>
      <c r="S831" s="11"/>
      <c r="T831" s="6"/>
      <c r="U831" s="24" t="str">
        <f>HYPERLINK("https://media.infra-m.ru/2163/2163761/cover/2163761.jpg", "Обложка")</f>
        <v>Обложка</v>
      </c>
      <c r="V831" s="24" t="str">
        <f>HYPERLINK("https://znanium.ru/catalog/product/2163761", "Ознакомиться")</f>
        <v>Ознакомиться</v>
      </c>
      <c r="W831" s="8" t="s">
        <v>3955</v>
      </c>
      <c r="X831" s="6"/>
      <c r="Y831" s="6"/>
      <c r="Z831" s="6"/>
      <c r="AA831" s="6" t="s">
        <v>119</v>
      </c>
      <c r="AB831" s="8" t="s">
        <v>5038</v>
      </c>
    </row>
    <row r="832" spans="1:28" s="4" customFormat="1" ht="42" customHeight="1">
      <c r="A832" s="5">
        <v>0</v>
      </c>
      <c r="B832" s="6" t="s">
        <v>5039</v>
      </c>
      <c r="C832" s="13">
        <v>965.9</v>
      </c>
      <c r="D832" s="8" t="s">
        <v>5040</v>
      </c>
      <c r="E832" s="8" t="s">
        <v>5041</v>
      </c>
      <c r="F832" s="8" t="s">
        <v>5042</v>
      </c>
      <c r="G832" s="6" t="s">
        <v>38</v>
      </c>
      <c r="H832" s="6" t="s">
        <v>39</v>
      </c>
      <c r="I832" s="8" t="s">
        <v>40</v>
      </c>
      <c r="J832" s="9">
        <v>1</v>
      </c>
      <c r="K832" s="9">
        <v>178</v>
      </c>
      <c r="L832" s="9">
        <v>2023</v>
      </c>
      <c r="M832" s="8" t="s">
        <v>5043</v>
      </c>
      <c r="N832" s="8" t="s">
        <v>220</v>
      </c>
      <c r="O832" s="8" t="s">
        <v>221</v>
      </c>
      <c r="P832" s="6" t="s">
        <v>44</v>
      </c>
      <c r="Q832" s="8" t="s">
        <v>45</v>
      </c>
      <c r="R832" s="10" t="s">
        <v>5044</v>
      </c>
      <c r="S832" s="11"/>
      <c r="T832" s="6"/>
      <c r="U832" s="24" t="str">
        <f>HYPERLINK("https://media.infra-m.ru/2006/2006934/cover/2006934.jpg", "Обложка")</f>
        <v>Обложка</v>
      </c>
      <c r="V832" s="24" t="str">
        <f>HYPERLINK("https://znanium.ru/catalog/product/983573", "Ознакомиться")</f>
        <v>Ознакомиться</v>
      </c>
      <c r="W832" s="8" t="s">
        <v>2080</v>
      </c>
      <c r="X832" s="6"/>
      <c r="Y832" s="6"/>
      <c r="Z832" s="6"/>
      <c r="AA832" s="6" t="s">
        <v>68</v>
      </c>
      <c r="AB832" s="8"/>
    </row>
    <row r="833" spans="1:28" s="4" customFormat="1" ht="44.1" customHeight="1">
      <c r="A833" s="5">
        <v>0</v>
      </c>
      <c r="B833" s="6" t="s">
        <v>5045</v>
      </c>
      <c r="C833" s="13">
        <v>900</v>
      </c>
      <c r="D833" s="8" t="s">
        <v>5046</v>
      </c>
      <c r="E833" s="8" t="s">
        <v>5047</v>
      </c>
      <c r="F833" s="8" t="s">
        <v>5048</v>
      </c>
      <c r="G833" s="6" t="s">
        <v>38</v>
      </c>
      <c r="H833" s="6" t="s">
        <v>39</v>
      </c>
      <c r="I833" s="8" t="s">
        <v>40</v>
      </c>
      <c r="J833" s="9">
        <v>1</v>
      </c>
      <c r="K833" s="9">
        <v>147</v>
      </c>
      <c r="L833" s="9">
        <v>2023</v>
      </c>
      <c r="M833" s="8" t="s">
        <v>5049</v>
      </c>
      <c r="N833" s="8" t="s">
        <v>42</v>
      </c>
      <c r="O833" s="8" t="s">
        <v>246</v>
      </c>
      <c r="P833" s="6" t="s">
        <v>44</v>
      </c>
      <c r="Q833" s="8" t="s">
        <v>45</v>
      </c>
      <c r="R833" s="10" t="s">
        <v>5007</v>
      </c>
      <c r="S833" s="11"/>
      <c r="T833" s="6"/>
      <c r="U833" s="24" t="str">
        <f>HYPERLINK("https://media.infra-m.ru/1915/1915813/cover/1915813.jpg", "Обложка")</f>
        <v>Обложка</v>
      </c>
      <c r="V833" s="24" t="str">
        <f>HYPERLINK("https://znanium.ru/catalog/product/1915813", "Ознакомиться")</f>
        <v>Ознакомиться</v>
      </c>
      <c r="W833" s="8" t="s">
        <v>5050</v>
      </c>
      <c r="X833" s="6"/>
      <c r="Y833" s="6"/>
      <c r="Z833" s="6"/>
      <c r="AA833" s="6" t="s">
        <v>119</v>
      </c>
      <c r="AB833" s="8"/>
    </row>
    <row r="834" spans="1:28" s="4" customFormat="1" ht="42" customHeight="1">
      <c r="A834" s="5">
        <v>0</v>
      </c>
      <c r="B834" s="6" t="s">
        <v>5051</v>
      </c>
      <c r="C834" s="7">
        <v>1572</v>
      </c>
      <c r="D834" s="8" t="s">
        <v>5052</v>
      </c>
      <c r="E834" s="8" t="s">
        <v>5053</v>
      </c>
      <c r="F834" s="8" t="s">
        <v>5054</v>
      </c>
      <c r="G834" s="6" t="s">
        <v>81</v>
      </c>
      <c r="H834" s="6" t="s">
        <v>99</v>
      </c>
      <c r="I834" s="8"/>
      <c r="J834" s="9">
        <v>1</v>
      </c>
      <c r="K834" s="9">
        <v>244</v>
      </c>
      <c r="L834" s="9">
        <v>2026</v>
      </c>
      <c r="M834" s="8" t="s">
        <v>5055</v>
      </c>
      <c r="N834" s="8" t="s">
        <v>42</v>
      </c>
      <c r="O834" s="8" t="s">
        <v>101</v>
      </c>
      <c r="P834" s="6" t="s">
        <v>44</v>
      </c>
      <c r="Q834" s="8" t="s">
        <v>45</v>
      </c>
      <c r="R834" s="10" t="s">
        <v>2490</v>
      </c>
      <c r="S834" s="11"/>
      <c r="T834" s="6"/>
      <c r="U834" s="24" t="str">
        <f>HYPERLINK("https://media.infra-m.ru/2215/2215609/cover/2215609.jpg", "Обложка")</f>
        <v>Обложка</v>
      </c>
      <c r="V834" s="24" t="str">
        <f>HYPERLINK("https://znanium.ru/catalog/product/2215609", "Ознакомиться")</f>
        <v>Ознакомиться</v>
      </c>
      <c r="W834" s="8" t="s">
        <v>535</v>
      </c>
      <c r="X834" s="6"/>
      <c r="Y834" s="6"/>
      <c r="Z834" s="6"/>
      <c r="AA834" s="6" t="s">
        <v>199</v>
      </c>
      <c r="AB834" s="8"/>
    </row>
    <row r="835" spans="1:28" s="4" customFormat="1" ht="51.95" customHeight="1">
      <c r="A835" s="5">
        <v>0</v>
      </c>
      <c r="B835" s="6" t="s">
        <v>5056</v>
      </c>
      <c r="C835" s="7">
        <v>2897.9</v>
      </c>
      <c r="D835" s="8" t="s">
        <v>5057</v>
      </c>
      <c r="E835" s="8" t="s">
        <v>5058</v>
      </c>
      <c r="F835" s="8" t="s">
        <v>5059</v>
      </c>
      <c r="G835" s="6" t="s">
        <v>38</v>
      </c>
      <c r="H835" s="6" t="s">
        <v>182</v>
      </c>
      <c r="I835" s="8" t="s">
        <v>40</v>
      </c>
      <c r="J835" s="9">
        <v>1</v>
      </c>
      <c r="K835" s="9">
        <v>512</v>
      </c>
      <c r="L835" s="9">
        <v>2024</v>
      </c>
      <c r="M835" s="8" t="s">
        <v>5060</v>
      </c>
      <c r="N835" s="8" t="s">
        <v>42</v>
      </c>
      <c r="O835" s="8" t="s">
        <v>1035</v>
      </c>
      <c r="P835" s="6" t="s">
        <v>44</v>
      </c>
      <c r="Q835" s="8" t="s">
        <v>45</v>
      </c>
      <c r="R835" s="10" t="s">
        <v>5061</v>
      </c>
      <c r="S835" s="11"/>
      <c r="T835" s="6"/>
      <c r="U835" s="24" t="str">
        <f>HYPERLINK("https://media.infra-m.ru/1852/1852229/cover/1852229.jpg", "Обложка")</f>
        <v>Обложка</v>
      </c>
      <c r="V835" s="24" t="str">
        <f>HYPERLINK("https://znanium.ru/catalog/product/1852229", "Ознакомиться")</f>
        <v>Ознакомиться</v>
      </c>
      <c r="W835" s="8" t="s">
        <v>5062</v>
      </c>
      <c r="X835" s="6"/>
      <c r="Y835" s="6"/>
      <c r="Z835" s="6"/>
      <c r="AA835" s="6" t="s">
        <v>290</v>
      </c>
      <c r="AB835" s="8"/>
    </row>
    <row r="836" spans="1:28" s="4" customFormat="1" ht="42" customHeight="1">
      <c r="A836" s="5">
        <v>0</v>
      </c>
      <c r="B836" s="6" t="s">
        <v>5063</v>
      </c>
      <c r="C836" s="7">
        <v>1212</v>
      </c>
      <c r="D836" s="8" t="s">
        <v>5064</v>
      </c>
      <c r="E836" s="8" t="s">
        <v>5065</v>
      </c>
      <c r="F836" s="8" t="s">
        <v>5066</v>
      </c>
      <c r="G836" s="6" t="s">
        <v>38</v>
      </c>
      <c r="H836" s="6" t="s">
        <v>39</v>
      </c>
      <c r="I836" s="8" t="s">
        <v>344</v>
      </c>
      <c r="J836" s="9">
        <v>1</v>
      </c>
      <c r="K836" s="9">
        <v>225</v>
      </c>
      <c r="L836" s="9">
        <v>2023</v>
      </c>
      <c r="M836" s="8" t="s">
        <v>5067</v>
      </c>
      <c r="N836" s="8" t="s">
        <v>42</v>
      </c>
      <c r="O836" s="8" t="s">
        <v>246</v>
      </c>
      <c r="P836" s="6" t="s">
        <v>44</v>
      </c>
      <c r="Q836" s="8" t="s">
        <v>45</v>
      </c>
      <c r="R836" s="10" t="s">
        <v>5068</v>
      </c>
      <c r="S836" s="11"/>
      <c r="T836" s="6"/>
      <c r="U836" s="24" t="str">
        <f>HYPERLINK("https://media.infra-m.ru/1995/1995250/cover/1995250.jpg", "Обложка")</f>
        <v>Обложка</v>
      </c>
      <c r="V836" s="24" t="str">
        <f>HYPERLINK("https://znanium.ru/catalog/product/1995250", "Ознакомиться")</f>
        <v>Ознакомиться</v>
      </c>
      <c r="W836" s="8" t="s">
        <v>346</v>
      </c>
      <c r="X836" s="6"/>
      <c r="Y836" s="6"/>
      <c r="Z836" s="6"/>
      <c r="AA836" s="6" t="s">
        <v>76</v>
      </c>
      <c r="AB836" s="8"/>
    </row>
    <row r="837" spans="1:28" s="4" customFormat="1" ht="42" customHeight="1">
      <c r="A837" s="5">
        <v>0</v>
      </c>
      <c r="B837" s="6" t="s">
        <v>5069</v>
      </c>
      <c r="C837" s="7">
        <v>2268</v>
      </c>
      <c r="D837" s="8" t="s">
        <v>5070</v>
      </c>
      <c r="E837" s="8" t="s">
        <v>5071</v>
      </c>
      <c r="F837" s="8" t="s">
        <v>5072</v>
      </c>
      <c r="G837" s="6" t="s">
        <v>132</v>
      </c>
      <c r="H837" s="6" t="s">
        <v>39</v>
      </c>
      <c r="I837" s="8" t="s">
        <v>40</v>
      </c>
      <c r="J837" s="9">
        <v>1</v>
      </c>
      <c r="K837" s="9">
        <v>363</v>
      </c>
      <c r="L837" s="9">
        <v>2025</v>
      </c>
      <c r="M837" s="8" t="s">
        <v>5073</v>
      </c>
      <c r="N837" s="8" t="s">
        <v>42</v>
      </c>
      <c r="O837" s="8" t="s">
        <v>189</v>
      </c>
      <c r="P837" s="6" t="s">
        <v>44</v>
      </c>
      <c r="Q837" s="8" t="s">
        <v>45</v>
      </c>
      <c r="R837" s="10" t="s">
        <v>5074</v>
      </c>
      <c r="S837" s="11"/>
      <c r="T837" s="6"/>
      <c r="U837" s="24" t="str">
        <f>HYPERLINK("https://media.infra-m.ru/2213/2213926/cover/2213926.jpg", "Обложка")</f>
        <v>Обложка</v>
      </c>
      <c r="V837" s="24" t="str">
        <f>HYPERLINK("https://znanium.ru/catalog/product/2213926", "Ознакомиться")</f>
        <v>Ознакомиться</v>
      </c>
      <c r="W837" s="8" t="s">
        <v>5075</v>
      </c>
      <c r="X837" s="6" t="s">
        <v>158</v>
      </c>
      <c r="Y837" s="6"/>
      <c r="Z837" s="6"/>
      <c r="AA837" s="6" t="s">
        <v>159</v>
      </c>
      <c r="AB837" s="8"/>
    </row>
    <row r="838" spans="1:28" s="4" customFormat="1" ht="42" customHeight="1">
      <c r="A838" s="5">
        <v>0</v>
      </c>
      <c r="B838" s="6" t="s">
        <v>5076</v>
      </c>
      <c r="C838" s="7">
        <v>3064.8</v>
      </c>
      <c r="D838" s="8" t="s">
        <v>5077</v>
      </c>
      <c r="E838" s="8" t="s">
        <v>5078</v>
      </c>
      <c r="F838" s="8" t="s">
        <v>630</v>
      </c>
      <c r="G838" s="6" t="s">
        <v>132</v>
      </c>
      <c r="H838" s="6" t="s">
        <v>39</v>
      </c>
      <c r="I838" s="8" t="s">
        <v>40</v>
      </c>
      <c r="J838" s="9">
        <v>1</v>
      </c>
      <c r="K838" s="9">
        <v>569</v>
      </c>
      <c r="L838" s="9">
        <v>2023</v>
      </c>
      <c r="M838" s="8" t="s">
        <v>5079</v>
      </c>
      <c r="N838" s="8" t="s">
        <v>42</v>
      </c>
      <c r="O838" s="8" t="s">
        <v>101</v>
      </c>
      <c r="P838" s="6" t="s">
        <v>44</v>
      </c>
      <c r="Q838" s="8" t="s">
        <v>45</v>
      </c>
      <c r="R838" s="10" t="s">
        <v>2490</v>
      </c>
      <c r="S838" s="11"/>
      <c r="T838" s="6"/>
      <c r="U838" s="24" t="str">
        <f>HYPERLINK("https://media.infra-m.ru/2006/2006944/cover/2006944.jpg", "Обложка")</f>
        <v>Обложка</v>
      </c>
      <c r="V838" s="24" t="str">
        <f>HYPERLINK("https://znanium.ru/catalog/product/961836", "Ознакомиться")</f>
        <v>Ознакомиться</v>
      </c>
      <c r="W838" s="8" t="s">
        <v>633</v>
      </c>
      <c r="X838" s="6"/>
      <c r="Y838" s="6"/>
      <c r="Z838" s="6"/>
      <c r="AA838" s="6" t="s">
        <v>68</v>
      </c>
      <c r="AB838" s="8"/>
    </row>
    <row r="839" spans="1:28" s="4" customFormat="1" ht="42" customHeight="1">
      <c r="A839" s="5">
        <v>0</v>
      </c>
      <c r="B839" s="6" t="s">
        <v>5080</v>
      </c>
      <c r="C839" s="7">
        <v>1260</v>
      </c>
      <c r="D839" s="8" t="s">
        <v>5081</v>
      </c>
      <c r="E839" s="8" t="s">
        <v>5082</v>
      </c>
      <c r="F839" s="8" t="s">
        <v>630</v>
      </c>
      <c r="G839" s="6" t="s">
        <v>132</v>
      </c>
      <c r="H839" s="6" t="s">
        <v>39</v>
      </c>
      <c r="I839" s="8" t="s">
        <v>40</v>
      </c>
      <c r="J839" s="9">
        <v>1</v>
      </c>
      <c r="K839" s="9">
        <v>260</v>
      </c>
      <c r="L839" s="9">
        <v>2022</v>
      </c>
      <c r="M839" s="8" t="s">
        <v>5083</v>
      </c>
      <c r="N839" s="8" t="s">
        <v>42</v>
      </c>
      <c r="O839" s="8" t="s">
        <v>101</v>
      </c>
      <c r="P839" s="6" t="s">
        <v>44</v>
      </c>
      <c r="Q839" s="8" t="s">
        <v>45</v>
      </c>
      <c r="R839" s="10" t="s">
        <v>5084</v>
      </c>
      <c r="S839" s="11"/>
      <c r="T839" s="6"/>
      <c r="U839" s="24" t="str">
        <f>HYPERLINK("https://media.infra-m.ru/1836/1836239/cover/1836239.jpg", "Обложка")</f>
        <v>Обложка</v>
      </c>
      <c r="V839" s="24" t="str">
        <f>HYPERLINK("https://znanium.ru/catalog/product/1836239", "Ознакомиться")</f>
        <v>Ознакомиться</v>
      </c>
      <c r="W839" s="8" t="s">
        <v>633</v>
      </c>
      <c r="X839" s="6"/>
      <c r="Y839" s="6"/>
      <c r="Z839" s="6"/>
      <c r="AA839" s="6" t="s">
        <v>111</v>
      </c>
      <c r="AB839" s="8"/>
    </row>
    <row r="840" spans="1:28" s="4" customFormat="1" ht="51.95" customHeight="1">
      <c r="A840" s="5">
        <v>0</v>
      </c>
      <c r="B840" s="6" t="s">
        <v>5085</v>
      </c>
      <c r="C840" s="7">
        <v>1252.8</v>
      </c>
      <c r="D840" s="8" t="s">
        <v>5086</v>
      </c>
      <c r="E840" s="8" t="s">
        <v>5087</v>
      </c>
      <c r="F840" s="8" t="s">
        <v>1891</v>
      </c>
      <c r="G840" s="6" t="s">
        <v>81</v>
      </c>
      <c r="H840" s="6" t="s">
        <v>39</v>
      </c>
      <c r="I840" s="8" t="s">
        <v>1893</v>
      </c>
      <c r="J840" s="9">
        <v>1</v>
      </c>
      <c r="K840" s="9">
        <v>271</v>
      </c>
      <c r="L840" s="9">
        <v>2025</v>
      </c>
      <c r="M840" s="8" t="s">
        <v>5088</v>
      </c>
      <c r="N840" s="8" t="s">
        <v>42</v>
      </c>
      <c r="O840" s="8" t="s">
        <v>1315</v>
      </c>
      <c r="P840" s="6" t="s">
        <v>1895</v>
      </c>
      <c r="Q840" s="8" t="s">
        <v>5089</v>
      </c>
      <c r="R840" s="10" t="s">
        <v>5090</v>
      </c>
      <c r="S840" s="11" t="s">
        <v>5091</v>
      </c>
      <c r="T840" s="6"/>
      <c r="U840" s="24" t="str">
        <f>HYPERLINK("https://media.infra-m.ru/2205/2205517/cover/2205517.jpg", "Обложка")</f>
        <v>Обложка</v>
      </c>
      <c r="V840" s="24" t="str">
        <f>HYPERLINK("https://znanium.ru/catalog/product/2168889", "Ознакомиться")</f>
        <v>Ознакомиться</v>
      </c>
      <c r="W840" s="8"/>
      <c r="X840" s="6"/>
      <c r="Y840" s="6" t="s">
        <v>30</v>
      </c>
      <c r="Z840" s="6"/>
      <c r="AA840" s="6" t="s">
        <v>725</v>
      </c>
      <c r="AB840" s="8"/>
    </row>
    <row r="841" spans="1:28" s="4" customFormat="1" ht="51.95" customHeight="1">
      <c r="A841" s="5">
        <v>0</v>
      </c>
      <c r="B841" s="6" t="s">
        <v>5092</v>
      </c>
      <c r="C841" s="13">
        <v>719.9</v>
      </c>
      <c r="D841" s="8" t="s">
        <v>5093</v>
      </c>
      <c r="E841" s="8" t="s">
        <v>5094</v>
      </c>
      <c r="F841" s="8" t="s">
        <v>1891</v>
      </c>
      <c r="G841" s="6" t="s">
        <v>81</v>
      </c>
      <c r="H841" s="6" t="s">
        <v>39</v>
      </c>
      <c r="I841" s="8"/>
      <c r="J841" s="9">
        <v>1</v>
      </c>
      <c r="K841" s="9">
        <v>462</v>
      </c>
      <c r="L841" s="9">
        <v>2021</v>
      </c>
      <c r="M841" s="8" t="s">
        <v>5095</v>
      </c>
      <c r="N841" s="8" t="s">
        <v>42</v>
      </c>
      <c r="O841" s="8" t="s">
        <v>1315</v>
      </c>
      <c r="P841" s="6" t="s">
        <v>1895</v>
      </c>
      <c r="Q841" s="8" t="s">
        <v>5089</v>
      </c>
      <c r="R841" s="10" t="s">
        <v>5090</v>
      </c>
      <c r="S841" s="11" t="s">
        <v>5096</v>
      </c>
      <c r="T841" s="6"/>
      <c r="U841" s="24" t="str">
        <f>HYPERLINK("https://media.infra-m.ru/1142/1142541/cover/1142541.jpg", "Обложка")</f>
        <v>Обложка</v>
      </c>
      <c r="V841" s="24" t="str">
        <f>HYPERLINK("https://znanium.ru/catalog/product/2168889", "Ознакомиться")</f>
        <v>Ознакомиться</v>
      </c>
      <c r="W841" s="8"/>
      <c r="X841" s="6"/>
      <c r="Y841" s="6" t="s">
        <v>30</v>
      </c>
      <c r="Z841" s="6"/>
      <c r="AA841" s="6" t="s">
        <v>369</v>
      </c>
      <c r="AB841" s="8"/>
    </row>
    <row r="842" spans="1:28" s="4" customFormat="1" ht="42" customHeight="1">
      <c r="A842" s="5">
        <v>0</v>
      </c>
      <c r="B842" s="6" t="s">
        <v>5097</v>
      </c>
      <c r="C842" s="7">
        <v>3236.4</v>
      </c>
      <c r="D842" s="8" t="s">
        <v>5098</v>
      </c>
      <c r="E842" s="8" t="s">
        <v>5099</v>
      </c>
      <c r="F842" s="8" t="s">
        <v>5100</v>
      </c>
      <c r="G842" s="6" t="s">
        <v>132</v>
      </c>
      <c r="H842" s="6" t="s">
        <v>39</v>
      </c>
      <c r="I842" s="8"/>
      <c r="J842" s="9">
        <v>1</v>
      </c>
      <c r="K842" s="9">
        <v>634</v>
      </c>
      <c r="L842" s="9">
        <v>2025</v>
      </c>
      <c r="M842" s="8" t="s">
        <v>5101</v>
      </c>
      <c r="N842" s="8" t="s">
        <v>42</v>
      </c>
      <c r="O842" s="8" t="s">
        <v>246</v>
      </c>
      <c r="P842" s="6" t="s">
        <v>44</v>
      </c>
      <c r="Q842" s="8" t="s">
        <v>45</v>
      </c>
      <c r="R842" s="10" t="s">
        <v>5102</v>
      </c>
      <c r="S842" s="11"/>
      <c r="T842" s="6"/>
      <c r="U842" s="24" t="str">
        <f>HYPERLINK("https://media.infra-m.ru/2184/2184959/cover/2184959.jpg", "Обложка")</f>
        <v>Обложка</v>
      </c>
      <c r="V842" s="24" t="str">
        <f>HYPERLINK("https://znanium.ru/catalog/product/1893903", "Ознакомиться")</f>
        <v>Ознакомиться</v>
      </c>
      <c r="W842" s="8" t="s">
        <v>516</v>
      </c>
      <c r="X842" s="6"/>
      <c r="Y842" s="6"/>
      <c r="Z842" s="6"/>
      <c r="AA842" s="6" t="s">
        <v>1050</v>
      </c>
      <c r="AB842" s="8"/>
    </row>
    <row r="843" spans="1:28" s="4" customFormat="1" ht="51.95" customHeight="1">
      <c r="A843" s="5">
        <v>0</v>
      </c>
      <c r="B843" s="6" t="s">
        <v>5103</v>
      </c>
      <c r="C843" s="13">
        <v>756</v>
      </c>
      <c r="D843" s="8" t="s">
        <v>5104</v>
      </c>
      <c r="E843" s="8" t="s">
        <v>5105</v>
      </c>
      <c r="F843" s="8" t="s">
        <v>5106</v>
      </c>
      <c r="G843" s="6" t="s">
        <v>38</v>
      </c>
      <c r="H843" s="6" t="s">
        <v>39</v>
      </c>
      <c r="I843" s="8" t="s">
        <v>40</v>
      </c>
      <c r="J843" s="9">
        <v>1</v>
      </c>
      <c r="K843" s="9">
        <v>112</v>
      </c>
      <c r="L843" s="9">
        <v>2025</v>
      </c>
      <c r="M843" s="8" t="s">
        <v>5107</v>
      </c>
      <c r="N843" s="8" t="s">
        <v>42</v>
      </c>
      <c r="O843" s="8" t="s">
        <v>246</v>
      </c>
      <c r="P843" s="6" t="s">
        <v>44</v>
      </c>
      <c r="Q843" s="8" t="s">
        <v>45</v>
      </c>
      <c r="R843" s="10" t="s">
        <v>5108</v>
      </c>
      <c r="S843" s="11"/>
      <c r="T843" s="6"/>
      <c r="U843" s="24" t="str">
        <f>HYPERLINK("https://media.infra-m.ru/2211/2211120/cover/2211120.jpg", "Обложка")</f>
        <v>Обложка</v>
      </c>
      <c r="V843" s="24" t="str">
        <f>HYPERLINK("https://znanium.ru/catalog/product/2211120", "Ознакомиться")</f>
        <v>Ознакомиться</v>
      </c>
      <c r="W843" s="8" t="s">
        <v>5109</v>
      </c>
      <c r="X843" s="6"/>
      <c r="Y843" s="6"/>
      <c r="Z843" s="6"/>
      <c r="AA843" s="6" t="s">
        <v>377</v>
      </c>
      <c r="AB843" s="8"/>
    </row>
    <row r="844" spans="1:28" s="4" customFormat="1" ht="51.95" customHeight="1">
      <c r="A844" s="5">
        <v>0</v>
      </c>
      <c r="B844" s="6" t="s">
        <v>5110</v>
      </c>
      <c r="C844" s="7">
        <v>1156.8</v>
      </c>
      <c r="D844" s="8" t="s">
        <v>5111</v>
      </c>
      <c r="E844" s="8" t="s">
        <v>5112</v>
      </c>
      <c r="F844" s="8" t="s">
        <v>5113</v>
      </c>
      <c r="G844" s="6" t="s">
        <v>38</v>
      </c>
      <c r="H844" s="6" t="s">
        <v>39</v>
      </c>
      <c r="I844" s="8" t="s">
        <v>40</v>
      </c>
      <c r="J844" s="9">
        <v>1</v>
      </c>
      <c r="K844" s="9">
        <v>184</v>
      </c>
      <c r="L844" s="9">
        <v>2025</v>
      </c>
      <c r="M844" s="8" t="s">
        <v>5114</v>
      </c>
      <c r="N844" s="8" t="s">
        <v>42</v>
      </c>
      <c r="O844" s="8" t="s">
        <v>246</v>
      </c>
      <c r="P844" s="6" t="s">
        <v>44</v>
      </c>
      <c r="Q844" s="8" t="s">
        <v>45</v>
      </c>
      <c r="R844" s="10" t="s">
        <v>5115</v>
      </c>
      <c r="S844" s="11"/>
      <c r="T844" s="6"/>
      <c r="U844" s="24" t="str">
        <f>HYPERLINK("https://media.infra-m.ru/2196/2196855/cover/2196855.jpg", "Обложка")</f>
        <v>Обложка</v>
      </c>
      <c r="V844" s="24" t="str">
        <f>HYPERLINK("https://znanium.ru/catalog/product/1843598", "Ознакомиться")</f>
        <v>Ознакомиться</v>
      </c>
      <c r="W844" s="8" t="s">
        <v>191</v>
      </c>
      <c r="X844" s="6"/>
      <c r="Y844" s="6"/>
      <c r="Z844" s="6"/>
      <c r="AA844" s="6" t="s">
        <v>48</v>
      </c>
      <c r="AB844" s="8"/>
    </row>
    <row r="845" spans="1:28" s="4" customFormat="1" ht="42" customHeight="1">
      <c r="A845" s="5">
        <v>0</v>
      </c>
      <c r="B845" s="6" t="s">
        <v>5116</v>
      </c>
      <c r="C845" s="7">
        <v>1080</v>
      </c>
      <c r="D845" s="8" t="s">
        <v>5117</v>
      </c>
      <c r="E845" s="8" t="s">
        <v>5118</v>
      </c>
      <c r="F845" s="8" t="s">
        <v>5119</v>
      </c>
      <c r="G845" s="6" t="s">
        <v>132</v>
      </c>
      <c r="H845" s="6" t="s">
        <v>39</v>
      </c>
      <c r="I845" s="8" t="s">
        <v>40</v>
      </c>
      <c r="J845" s="9">
        <v>1</v>
      </c>
      <c r="K845" s="9">
        <v>168</v>
      </c>
      <c r="L845" s="9">
        <v>2025</v>
      </c>
      <c r="M845" s="8" t="s">
        <v>5120</v>
      </c>
      <c r="N845" s="8" t="s">
        <v>229</v>
      </c>
      <c r="O845" s="8" t="s">
        <v>230</v>
      </c>
      <c r="P845" s="6" t="s">
        <v>44</v>
      </c>
      <c r="Q845" s="8" t="s">
        <v>45</v>
      </c>
      <c r="R845" s="10" t="s">
        <v>5121</v>
      </c>
      <c r="S845" s="11"/>
      <c r="T845" s="6"/>
      <c r="U845" s="24" t="str">
        <f>HYPERLINK("https://media.infra-m.ru/2134/2134240/cover/2134240.jpg", "Обложка")</f>
        <v>Обложка</v>
      </c>
      <c r="V845" s="24" t="str">
        <f>HYPERLINK("https://znanium.ru/catalog/product/2134240", "Ознакомиться")</f>
        <v>Ознакомиться</v>
      </c>
      <c r="W845" s="8" t="s">
        <v>1968</v>
      </c>
      <c r="X845" s="6"/>
      <c r="Y845" s="6"/>
      <c r="Z845" s="6"/>
      <c r="AA845" s="6" t="s">
        <v>159</v>
      </c>
      <c r="AB845" s="8"/>
    </row>
    <row r="846" spans="1:28" s="4" customFormat="1" ht="42" customHeight="1">
      <c r="A846" s="5">
        <v>0</v>
      </c>
      <c r="B846" s="6" t="s">
        <v>5122</v>
      </c>
      <c r="C846" s="7">
        <v>1732.8</v>
      </c>
      <c r="D846" s="8" t="s">
        <v>5123</v>
      </c>
      <c r="E846" s="8" t="s">
        <v>5124</v>
      </c>
      <c r="F846" s="8" t="s">
        <v>5125</v>
      </c>
      <c r="G846" s="6" t="s">
        <v>132</v>
      </c>
      <c r="H846" s="6" t="s">
        <v>39</v>
      </c>
      <c r="I846" s="8" t="s">
        <v>40</v>
      </c>
      <c r="J846" s="9">
        <v>1</v>
      </c>
      <c r="K846" s="9">
        <v>255</v>
      </c>
      <c r="L846" s="9">
        <v>2025</v>
      </c>
      <c r="M846" s="8" t="s">
        <v>5126</v>
      </c>
      <c r="N846" s="8" t="s">
        <v>284</v>
      </c>
      <c r="O846" s="8" t="s">
        <v>2265</v>
      </c>
      <c r="P846" s="6" t="s">
        <v>44</v>
      </c>
      <c r="Q846" s="8" t="s">
        <v>45</v>
      </c>
      <c r="R846" s="10" t="s">
        <v>2983</v>
      </c>
      <c r="S846" s="11"/>
      <c r="T846" s="6"/>
      <c r="U846" s="24" t="str">
        <f>HYPERLINK("https://media.infra-m.ru/2226/2226832/cover/2226832.jpg", "Обложка")</f>
        <v>Обложка</v>
      </c>
      <c r="V846" s="24" t="str">
        <f>HYPERLINK("https://znanium.ru/catalog/product/2186400", "Ознакомиться")</f>
        <v>Ознакомиться</v>
      </c>
      <c r="W846" s="8" t="s">
        <v>791</v>
      </c>
      <c r="X846" s="6"/>
      <c r="Y846" s="6"/>
      <c r="Z846" s="6"/>
      <c r="AA846" s="6" t="s">
        <v>159</v>
      </c>
      <c r="AB846" s="8"/>
    </row>
    <row r="847" spans="1:28" s="4" customFormat="1" ht="42" customHeight="1">
      <c r="A847" s="5">
        <v>0</v>
      </c>
      <c r="B847" s="6" t="s">
        <v>5127</v>
      </c>
      <c r="C847" s="13">
        <v>592.79999999999995</v>
      </c>
      <c r="D847" s="8" t="s">
        <v>5128</v>
      </c>
      <c r="E847" s="8" t="s">
        <v>5129</v>
      </c>
      <c r="F847" s="8" t="s">
        <v>5130</v>
      </c>
      <c r="G847" s="6" t="s">
        <v>38</v>
      </c>
      <c r="H847" s="6" t="s">
        <v>39</v>
      </c>
      <c r="I847" s="8" t="s">
        <v>40</v>
      </c>
      <c r="J847" s="9">
        <v>1</v>
      </c>
      <c r="K847" s="9">
        <v>88</v>
      </c>
      <c r="L847" s="9">
        <v>2025</v>
      </c>
      <c r="M847" s="8" t="s">
        <v>5131</v>
      </c>
      <c r="N847" s="8" t="s">
        <v>284</v>
      </c>
      <c r="O847" s="8" t="s">
        <v>285</v>
      </c>
      <c r="P847" s="6" t="s">
        <v>44</v>
      </c>
      <c r="Q847" s="8" t="s">
        <v>45</v>
      </c>
      <c r="R847" s="10" t="s">
        <v>1272</v>
      </c>
      <c r="S847" s="11"/>
      <c r="T847" s="6"/>
      <c r="U847" s="24" t="str">
        <f>HYPERLINK("https://media.infra-m.ru/2212/2212065/cover/2212065.jpg", "Обложка")</f>
        <v>Обложка</v>
      </c>
      <c r="V847" s="24" t="str">
        <f>HYPERLINK("https://znanium.ru/catalog/product/2171406", "Ознакомиться")</f>
        <v>Ознакомиться</v>
      </c>
      <c r="W847" s="8" t="s">
        <v>1413</v>
      </c>
      <c r="X847" s="6"/>
      <c r="Y847" s="6"/>
      <c r="Z847" s="6"/>
      <c r="AA847" s="6" t="s">
        <v>68</v>
      </c>
      <c r="AB847" s="8"/>
    </row>
    <row r="848" spans="1:28" s="4" customFormat="1" ht="51.95" customHeight="1">
      <c r="A848" s="5">
        <v>0</v>
      </c>
      <c r="B848" s="6" t="s">
        <v>5132</v>
      </c>
      <c r="C848" s="7">
        <v>1080</v>
      </c>
      <c r="D848" s="8" t="s">
        <v>5133</v>
      </c>
      <c r="E848" s="8" t="s">
        <v>5134</v>
      </c>
      <c r="F848" s="8" t="s">
        <v>2084</v>
      </c>
      <c r="G848" s="6" t="s">
        <v>81</v>
      </c>
      <c r="H848" s="6" t="s">
        <v>99</v>
      </c>
      <c r="I848" s="8"/>
      <c r="J848" s="9">
        <v>1</v>
      </c>
      <c r="K848" s="9">
        <v>168</v>
      </c>
      <c r="L848" s="9">
        <v>2025</v>
      </c>
      <c r="M848" s="8" t="s">
        <v>5135</v>
      </c>
      <c r="N848" s="8" t="s">
        <v>42</v>
      </c>
      <c r="O848" s="8" t="s">
        <v>101</v>
      </c>
      <c r="P848" s="6" t="s">
        <v>659</v>
      </c>
      <c r="Q848" s="8" t="s">
        <v>45</v>
      </c>
      <c r="R848" s="10" t="s">
        <v>680</v>
      </c>
      <c r="S848" s="11"/>
      <c r="T848" s="6"/>
      <c r="U848" s="24" t="str">
        <f>HYPERLINK("https://media.infra-m.ru/2187/2187212/cover/2187212.jpg", "Обложка")</f>
        <v>Обложка</v>
      </c>
      <c r="V848" s="24" t="str">
        <f>HYPERLINK("https://znanium.ru/catalog/product/2187212", "Ознакомиться")</f>
        <v>Ознакомиться</v>
      </c>
      <c r="W848" s="8" t="s">
        <v>565</v>
      </c>
      <c r="X848" s="6"/>
      <c r="Y848" s="6"/>
      <c r="Z848" s="6"/>
      <c r="AA848" s="6" t="s">
        <v>76</v>
      </c>
      <c r="AB848" s="8"/>
    </row>
    <row r="849" spans="1:28" s="4" customFormat="1" ht="44.1" customHeight="1">
      <c r="A849" s="5">
        <v>0</v>
      </c>
      <c r="B849" s="6" t="s">
        <v>5136</v>
      </c>
      <c r="C849" s="7">
        <v>1404</v>
      </c>
      <c r="D849" s="8" t="s">
        <v>5137</v>
      </c>
      <c r="E849" s="8" t="s">
        <v>5138</v>
      </c>
      <c r="F849" s="8" t="s">
        <v>5139</v>
      </c>
      <c r="G849" s="6" t="s">
        <v>132</v>
      </c>
      <c r="H849" s="6" t="s">
        <v>39</v>
      </c>
      <c r="I849" s="8" t="s">
        <v>40</v>
      </c>
      <c r="J849" s="9">
        <v>1</v>
      </c>
      <c r="K849" s="9">
        <v>245</v>
      </c>
      <c r="L849" s="9">
        <v>2024</v>
      </c>
      <c r="M849" s="8" t="s">
        <v>5140</v>
      </c>
      <c r="N849" s="8" t="s">
        <v>42</v>
      </c>
      <c r="O849" s="8" t="s">
        <v>65</v>
      </c>
      <c r="P849" s="6" t="s">
        <v>44</v>
      </c>
      <c r="Q849" s="8" t="s">
        <v>45</v>
      </c>
      <c r="R849" s="10" t="s">
        <v>5141</v>
      </c>
      <c r="S849" s="11"/>
      <c r="T849" s="6"/>
      <c r="U849" s="24" t="str">
        <f>HYPERLINK("https://media.infra-m.ru/2110/2110854/cover/2110854.jpg", "Обложка")</f>
        <v>Обложка</v>
      </c>
      <c r="V849" s="24" t="str">
        <f>HYPERLINK("https://znanium.ru/catalog/product/2110854", "Ознакомиться")</f>
        <v>Ознакомиться</v>
      </c>
      <c r="W849" s="8" t="s">
        <v>5142</v>
      </c>
      <c r="X849" s="6"/>
      <c r="Y849" s="6"/>
      <c r="Z849" s="6"/>
      <c r="AA849" s="6" t="s">
        <v>58</v>
      </c>
      <c r="AB849" s="8"/>
    </row>
    <row r="850" spans="1:28" s="4" customFormat="1" ht="51.95" customHeight="1">
      <c r="A850" s="5">
        <v>0</v>
      </c>
      <c r="B850" s="6" t="s">
        <v>5143</v>
      </c>
      <c r="C850" s="7">
        <v>1768.8</v>
      </c>
      <c r="D850" s="8" t="s">
        <v>5144</v>
      </c>
      <c r="E850" s="8" t="s">
        <v>5145</v>
      </c>
      <c r="F850" s="8" t="s">
        <v>5146</v>
      </c>
      <c r="G850" s="6" t="s">
        <v>38</v>
      </c>
      <c r="H850" s="6" t="s">
        <v>39</v>
      </c>
      <c r="I850" s="8" t="s">
        <v>40</v>
      </c>
      <c r="J850" s="9">
        <v>1</v>
      </c>
      <c r="K850" s="9">
        <v>278</v>
      </c>
      <c r="L850" s="9">
        <v>2026</v>
      </c>
      <c r="M850" s="8" t="s">
        <v>5147</v>
      </c>
      <c r="N850" s="8" t="s">
        <v>220</v>
      </c>
      <c r="O850" s="8" t="s">
        <v>296</v>
      </c>
      <c r="P850" s="6" t="s">
        <v>44</v>
      </c>
      <c r="Q850" s="8" t="s">
        <v>45</v>
      </c>
      <c r="R850" s="10" t="s">
        <v>5148</v>
      </c>
      <c r="S850" s="11"/>
      <c r="T850" s="6"/>
      <c r="U850" s="24" t="str">
        <f>HYPERLINK("https://media.infra-m.ru/2223/2223152/cover/2223152.jpg", "Обложка")</f>
        <v>Обложка</v>
      </c>
      <c r="V850" s="24" t="str">
        <f>HYPERLINK("https://znanium.ru/catalog/product/2126636", "Ознакомиться")</f>
        <v>Ознакомиться</v>
      </c>
      <c r="W850" s="8" t="s">
        <v>5149</v>
      </c>
      <c r="X850" s="6"/>
      <c r="Y850" s="6"/>
      <c r="Z850" s="6"/>
      <c r="AA850" s="6" t="s">
        <v>76</v>
      </c>
      <c r="AB850" s="8"/>
    </row>
    <row r="851" spans="1:28" s="4" customFormat="1" ht="51.95" customHeight="1">
      <c r="A851" s="5">
        <v>0</v>
      </c>
      <c r="B851" s="6" t="s">
        <v>5150</v>
      </c>
      <c r="C851" s="7">
        <v>1140</v>
      </c>
      <c r="D851" s="8" t="s">
        <v>5151</v>
      </c>
      <c r="E851" s="8" t="s">
        <v>5152</v>
      </c>
      <c r="F851" s="8" t="s">
        <v>5153</v>
      </c>
      <c r="G851" s="6" t="s">
        <v>38</v>
      </c>
      <c r="H851" s="6" t="s">
        <v>39</v>
      </c>
      <c r="I851" s="8" t="s">
        <v>40</v>
      </c>
      <c r="J851" s="9">
        <v>1</v>
      </c>
      <c r="K851" s="9">
        <v>171</v>
      </c>
      <c r="L851" s="9">
        <v>2026</v>
      </c>
      <c r="M851" s="8" t="s">
        <v>5154</v>
      </c>
      <c r="N851" s="8" t="s">
        <v>42</v>
      </c>
      <c r="O851" s="8" t="s">
        <v>1002</v>
      </c>
      <c r="P851" s="6" t="s">
        <v>44</v>
      </c>
      <c r="Q851" s="8" t="s">
        <v>45</v>
      </c>
      <c r="R851" s="10" t="s">
        <v>5155</v>
      </c>
      <c r="S851" s="11"/>
      <c r="T851" s="6"/>
      <c r="U851" s="24" t="str">
        <f>HYPERLINK("https://media.infra-m.ru/2230/2230149/cover/2230149.jpg", "Обложка")</f>
        <v>Обложка</v>
      </c>
      <c r="V851" s="24" t="str">
        <f>HYPERLINK("https://znanium.ru/catalog/product/2230149", "Ознакомиться")</f>
        <v>Ознакомиться</v>
      </c>
      <c r="W851" s="8" t="s">
        <v>5156</v>
      </c>
      <c r="X851" s="6"/>
      <c r="Y851" s="6"/>
      <c r="Z851" s="6"/>
      <c r="AA851" s="6" t="s">
        <v>168</v>
      </c>
      <c r="AB851" s="8"/>
    </row>
    <row r="852" spans="1:28" s="4" customFormat="1" ht="51.95" customHeight="1">
      <c r="A852" s="5">
        <v>0</v>
      </c>
      <c r="B852" s="6" t="s">
        <v>5157</v>
      </c>
      <c r="C852" s="7">
        <v>1107.5999999999999</v>
      </c>
      <c r="D852" s="8" t="s">
        <v>5158</v>
      </c>
      <c r="E852" s="8" t="s">
        <v>5159</v>
      </c>
      <c r="F852" s="8" t="s">
        <v>5160</v>
      </c>
      <c r="G852" s="6" t="s">
        <v>38</v>
      </c>
      <c r="H852" s="6" t="s">
        <v>39</v>
      </c>
      <c r="I852" s="8" t="s">
        <v>5161</v>
      </c>
      <c r="J852" s="9">
        <v>1</v>
      </c>
      <c r="K852" s="9">
        <v>254</v>
      </c>
      <c r="L852" s="9">
        <v>2024</v>
      </c>
      <c r="M852" s="8" t="s">
        <v>5162</v>
      </c>
      <c r="N852" s="8" t="s">
        <v>42</v>
      </c>
      <c r="O852" s="8" t="s">
        <v>65</v>
      </c>
      <c r="P852" s="6" t="s">
        <v>659</v>
      </c>
      <c r="Q852" s="8" t="s">
        <v>45</v>
      </c>
      <c r="R852" s="10" t="s">
        <v>5163</v>
      </c>
      <c r="S852" s="11"/>
      <c r="T852" s="6"/>
      <c r="U852" s="24" t="str">
        <f>HYPERLINK("https://media.infra-m.ru/2170/2170875/cover/2170875.jpg", "Обложка")</f>
        <v>Обложка</v>
      </c>
      <c r="V852" s="24" t="str">
        <f>HYPERLINK("https://znanium.ru/catalog/product/2170875", "Ознакомиться")</f>
        <v>Ознакомиться</v>
      </c>
      <c r="W852" s="8" t="s">
        <v>191</v>
      </c>
      <c r="X852" s="6"/>
      <c r="Y852" s="6"/>
      <c r="Z852" s="6"/>
      <c r="AA852" s="6" t="s">
        <v>3108</v>
      </c>
      <c r="AB852" s="8"/>
    </row>
    <row r="853" spans="1:28" s="4" customFormat="1" ht="51.95" customHeight="1">
      <c r="A853" s="5">
        <v>0</v>
      </c>
      <c r="B853" s="6" t="s">
        <v>5164</v>
      </c>
      <c r="C853" s="7">
        <v>1029.5999999999999</v>
      </c>
      <c r="D853" s="8" t="s">
        <v>5165</v>
      </c>
      <c r="E853" s="8" t="s">
        <v>5166</v>
      </c>
      <c r="F853" s="8" t="s">
        <v>5167</v>
      </c>
      <c r="G853" s="6" t="s">
        <v>38</v>
      </c>
      <c r="H853" s="6" t="s">
        <v>39</v>
      </c>
      <c r="I853" s="8" t="s">
        <v>828</v>
      </c>
      <c r="J853" s="9">
        <v>1</v>
      </c>
      <c r="K853" s="9">
        <v>206</v>
      </c>
      <c r="L853" s="9">
        <v>2026</v>
      </c>
      <c r="M853" s="8" t="s">
        <v>5168</v>
      </c>
      <c r="N853" s="8" t="s">
        <v>229</v>
      </c>
      <c r="O853" s="8" t="s">
        <v>230</v>
      </c>
      <c r="P853" s="6" t="s">
        <v>659</v>
      </c>
      <c r="Q853" s="8" t="s">
        <v>3884</v>
      </c>
      <c r="R853" s="10" t="s">
        <v>5169</v>
      </c>
      <c r="S853" s="11"/>
      <c r="T853" s="6"/>
      <c r="U853" s="24" t="str">
        <f>HYPERLINK("https://media.infra-m.ru/2230/2230157/cover/2230157.jpg", "Обложка")</f>
        <v>Обложка</v>
      </c>
      <c r="V853" s="24" t="str">
        <f>HYPERLINK("https://znanium.ru/catalog/product/2221957", "Ознакомиться")</f>
        <v>Ознакомиться</v>
      </c>
      <c r="W853" s="8" t="s">
        <v>5170</v>
      </c>
      <c r="X853" s="6"/>
      <c r="Y853" s="6"/>
      <c r="Z853" s="6"/>
      <c r="AA853" s="6" t="s">
        <v>339</v>
      </c>
      <c r="AB853" s="8"/>
    </row>
    <row r="854" spans="1:28" s="4" customFormat="1" ht="51.95" customHeight="1">
      <c r="A854" s="5">
        <v>0</v>
      </c>
      <c r="B854" s="6" t="s">
        <v>5171</v>
      </c>
      <c r="C854" s="13">
        <v>912</v>
      </c>
      <c r="D854" s="8" t="s">
        <v>5172</v>
      </c>
      <c r="E854" s="8" t="s">
        <v>5173</v>
      </c>
      <c r="F854" s="8" t="s">
        <v>5174</v>
      </c>
      <c r="G854" s="6" t="s">
        <v>38</v>
      </c>
      <c r="H854" s="6" t="s">
        <v>39</v>
      </c>
      <c r="I854" s="8" t="s">
        <v>5161</v>
      </c>
      <c r="J854" s="9">
        <v>1</v>
      </c>
      <c r="K854" s="9">
        <v>224</v>
      </c>
      <c r="L854" s="9">
        <v>2025</v>
      </c>
      <c r="M854" s="8" t="s">
        <v>5175</v>
      </c>
      <c r="N854" s="8" t="s">
        <v>42</v>
      </c>
      <c r="O854" s="8" t="s">
        <v>189</v>
      </c>
      <c r="P854" s="6" t="s">
        <v>659</v>
      </c>
      <c r="Q854" s="8" t="s">
        <v>45</v>
      </c>
      <c r="R854" s="10" t="s">
        <v>5176</v>
      </c>
      <c r="S854" s="11"/>
      <c r="T854" s="6"/>
      <c r="U854" s="24" t="str">
        <f>HYPERLINK("https://media.infra-m.ru/2202/2202511/cover/2202511.jpg", "Обложка")</f>
        <v>Обложка</v>
      </c>
      <c r="V854" s="24" t="str">
        <f>HYPERLINK("https://znanium.ru/catalog/product/2202511", "Ознакомиться")</f>
        <v>Ознакомиться</v>
      </c>
      <c r="W854" s="8" t="s">
        <v>191</v>
      </c>
      <c r="X854" s="6"/>
      <c r="Y854" s="6"/>
      <c r="Z854" s="6"/>
      <c r="AA854" s="6" t="s">
        <v>5177</v>
      </c>
      <c r="AB854" s="8"/>
    </row>
    <row r="855" spans="1:28" s="4" customFormat="1" ht="51.95" customHeight="1">
      <c r="A855" s="5">
        <v>0</v>
      </c>
      <c r="B855" s="6" t="s">
        <v>5178</v>
      </c>
      <c r="C855" s="7">
        <v>1200</v>
      </c>
      <c r="D855" s="8" t="s">
        <v>5179</v>
      </c>
      <c r="E855" s="8" t="s">
        <v>5180</v>
      </c>
      <c r="F855" s="8" t="s">
        <v>1830</v>
      </c>
      <c r="G855" s="6" t="s">
        <v>38</v>
      </c>
      <c r="H855" s="6" t="s">
        <v>39</v>
      </c>
      <c r="I855" s="8" t="s">
        <v>40</v>
      </c>
      <c r="J855" s="9">
        <v>1</v>
      </c>
      <c r="K855" s="9">
        <v>200</v>
      </c>
      <c r="L855" s="9">
        <v>2024</v>
      </c>
      <c r="M855" s="8" t="s">
        <v>5181</v>
      </c>
      <c r="N855" s="8" t="s">
        <v>42</v>
      </c>
      <c r="O855" s="8" t="s">
        <v>1315</v>
      </c>
      <c r="P855" s="6" t="s">
        <v>44</v>
      </c>
      <c r="Q855" s="8" t="s">
        <v>45</v>
      </c>
      <c r="R855" s="10" t="s">
        <v>5182</v>
      </c>
      <c r="S855" s="11"/>
      <c r="T855" s="6"/>
      <c r="U855" s="24" t="str">
        <f>HYPERLINK("https://media.infra-m.ru/2105/2105786/cover/2105786.jpg", "Обложка")</f>
        <v>Обложка</v>
      </c>
      <c r="V855" s="24" t="str">
        <f>HYPERLINK("https://znanium.ru/catalog/product/2105786", "Ознакомиться")</f>
        <v>Ознакомиться</v>
      </c>
      <c r="W855" s="8" t="s">
        <v>314</v>
      </c>
      <c r="X855" s="6"/>
      <c r="Y855" s="6"/>
      <c r="Z855" s="6"/>
      <c r="AA855" s="6" t="s">
        <v>111</v>
      </c>
      <c r="AB855" s="8"/>
    </row>
    <row r="856" spans="1:28" s="4" customFormat="1" ht="42" customHeight="1">
      <c r="A856" s="5">
        <v>0</v>
      </c>
      <c r="B856" s="6" t="s">
        <v>5183</v>
      </c>
      <c r="C856" s="7">
        <v>1152</v>
      </c>
      <c r="D856" s="8" t="s">
        <v>5184</v>
      </c>
      <c r="E856" s="8" t="s">
        <v>5185</v>
      </c>
      <c r="F856" s="8" t="s">
        <v>5186</v>
      </c>
      <c r="G856" s="6" t="s">
        <v>38</v>
      </c>
      <c r="H856" s="6" t="s">
        <v>39</v>
      </c>
      <c r="I856" s="8" t="s">
        <v>40</v>
      </c>
      <c r="J856" s="9">
        <v>1</v>
      </c>
      <c r="K856" s="9">
        <v>192</v>
      </c>
      <c r="L856" s="9">
        <v>2025</v>
      </c>
      <c r="M856" s="8" t="s">
        <v>5187</v>
      </c>
      <c r="N856" s="8" t="s">
        <v>42</v>
      </c>
      <c r="O856" s="8" t="s">
        <v>101</v>
      </c>
      <c r="P856" s="6" t="s">
        <v>44</v>
      </c>
      <c r="Q856" s="8" t="s">
        <v>45</v>
      </c>
      <c r="R856" s="10" t="s">
        <v>874</v>
      </c>
      <c r="S856" s="11"/>
      <c r="T856" s="6"/>
      <c r="U856" s="24" t="str">
        <f>HYPERLINK("https://media.infra-m.ru/2135/2135245/cover/2135245.jpg", "Обложка")</f>
        <v>Обложка</v>
      </c>
      <c r="V856" s="24" t="str">
        <f>HYPERLINK("https://znanium.ru/catalog/product/2135245", "Ознакомиться")</f>
        <v>Ознакомиться</v>
      </c>
      <c r="W856" s="8" t="s">
        <v>626</v>
      </c>
      <c r="X856" s="6"/>
      <c r="Y856" s="6"/>
      <c r="Z856" s="6"/>
      <c r="AA856" s="6" t="s">
        <v>127</v>
      </c>
      <c r="AB856" s="8"/>
    </row>
    <row r="857" spans="1:28" s="4" customFormat="1" ht="42" customHeight="1">
      <c r="A857" s="5">
        <v>0</v>
      </c>
      <c r="B857" s="6" t="s">
        <v>5188</v>
      </c>
      <c r="C857" s="13">
        <v>964.8</v>
      </c>
      <c r="D857" s="8" t="s">
        <v>5189</v>
      </c>
      <c r="E857" s="8" t="s">
        <v>5190</v>
      </c>
      <c r="F857" s="8" t="s">
        <v>5191</v>
      </c>
      <c r="G857" s="6" t="s">
        <v>132</v>
      </c>
      <c r="H857" s="6" t="s">
        <v>39</v>
      </c>
      <c r="I857" s="8" t="s">
        <v>344</v>
      </c>
      <c r="J857" s="9">
        <v>1</v>
      </c>
      <c r="K857" s="9">
        <v>179</v>
      </c>
      <c r="L857" s="9">
        <v>2023</v>
      </c>
      <c r="M857" s="8" t="s">
        <v>5192</v>
      </c>
      <c r="N857" s="8" t="s">
        <v>54</v>
      </c>
      <c r="O857" s="8" t="s">
        <v>91</v>
      </c>
      <c r="P857" s="6" t="s">
        <v>44</v>
      </c>
      <c r="Q857" s="8" t="s">
        <v>45</v>
      </c>
      <c r="R857" s="10" t="s">
        <v>3174</v>
      </c>
      <c r="S857" s="11"/>
      <c r="T857" s="6"/>
      <c r="U857" s="24" t="str">
        <f>HYPERLINK("https://media.infra-m.ru/1859/1859815/cover/1859815.jpg", "Обложка")</f>
        <v>Обложка</v>
      </c>
      <c r="V857" s="12"/>
      <c r="W857" s="8" t="s">
        <v>346</v>
      </c>
      <c r="X857" s="6"/>
      <c r="Y857" s="6"/>
      <c r="Z857" s="6"/>
      <c r="AA857" s="6" t="s">
        <v>68</v>
      </c>
      <c r="AB857" s="8"/>
    </row>
    <row r="858" spans="1:28" s="4" customFormat="1" ht="42" customHeight="1">
      <c r="A858" s="5">
        <v>0</v>
      </c>
      <c r="B858" s="6" t="s">
        <v>5193</v>
      </c>
      <c r="C858" s="7">
        <v>1372.8</v>
      </c>
      <c r="D858" s="8" t="s">
        <v>5194</v>
      </c>
      <c r="E858" s="8" t="s">
        <v>5195</v>
      </c>
      <c r="F858" s="8" t="s">
        <v>5196</v>
      </c>
      <c r="G858" s="6" t="s">
        <v>38</v>
      </c>
      <c r="H858" s="6" t="s">
        <v>99</v>
      </c>
      <c r="I858" s="8"/>
      <c r="J858" s="9">
        <v>1</v>
      </c>
      <c r="K858" s="9">
        <v>288</v>
      </c>
      <c r="L858" s="9">
        <v>2024</v>
      </c>
      <c r="M858" s="8" t="s">
        <v>5197</v>
      </c>
      <c r="N858" s="8" t="s">
        <v>42</v>
      </c>
      <c r="O858" s="8" t="s">
        <v>101</v>
      </c>
      <c r="P858" s="6" t="s">
        <v>44</v>
      </c>
      <c r="Q858" s="8" t="s">
        <v>45</v>
      </c>
      <c r="R858" s="10" t="s">
        <v>874</v>
      </c>
      <c r="S858" s="11"/>
      <c r="T858" s="6"/>
      <c r="U858" s="24" t="str">
        <f>HYPERLINK("https://media.infra-m.ru/2129/2129523/cover/2129523.jpg", "Обложка")</f>
        <v>Обложка</v>
      </c>
      <c r="V858" s="24" t="str">
        <f>HYPERLINK("https://znanium.ru/catalog/product/1093252", "Ознакомиться")</f>
        <v>Ознакомиться</v>
      </c>
      <c r="W858" s="8" t="s">
        <v>803</v>
      </c>
      <c r="X858" s="6"/>
      <c r="Y858" s="6"/>
      <c r="Z858" s="6"/>
      <c r="AA858" s="6" t="s">
        <v>5198</v>
      </c>
      <c r="AB858" s="8"/>
    </row>
    <row r="859" spans="1:28" s="4" customFormat="1" ht="42" customHeight="1">
      <c r="A859" s="5">
        <v>0</v>
      </c>
      <c r="B859" s="6" t="s">
        <v>5199</v>
      </c>
      <c r="C859" s="7">
        <v>1084.8</v>
      </c>
      <c r="D859" s="8" t="s">
        <v>5200</v>
      </c>
      <c r="E859" s="8" t="s">
        <v>5201</v>
      </c>
      <c r="F859" s="8" t="s">
        <v>5202</v>
      </c>
      <c r="G859" s="6" t="s">
        <v>81</v>
      </c>
      <c r="H859" s="6" t="s">
        <v>2052</v>
      </c>
      <c r="I859" s="8"/>
      <c r="J859" s="9">
        <v>1</v>
      </c>
      <c r="K859" s="9">
        <v>192</v>
      </c>
      <c r="L859" s="9">
        <v>2024</v>
      </c>
      <c r="M859" s="8" t="s">
        <v>5203</v>
      </c>
      <c r="N859" s="8" t="s">
        <v>42</v>
      </c>
      <c r="O859" s="8" t="s">
        <v>101</v>
      </c>
      <c r="P859" s="6" t="s">
        <v>44</v>
      </c>
      <c r="Q859" s="8" t="s">
        <v>45</v>
      </c>
      <c r="R859" s="10" t="s">
        <v>2946</v>
      </c>
      <c r="S859" s="11"/>
      <c r="T859" s="6"/>
      <c r="U859" s="24" t="str">
        <f>HYPERLINK("https://media.infra-m.ru/2133/2133515/cover/2133515.jpg", "Обложка")</f>
        <v>Обложка</v>
      </c>
      <c r="V859" s="24" t="str">
        <f>HYPERLINK("https://znanium.ru/catalog/product/1862613", "Ознакомиться")</f>
        <v>Ознакомиться</v>
      </c>
      <c r="W859" s="8" t="s">
        <v>803</v>
      </c>
      <c r="X859" s="6"/>
      <c r="Y859" s="6"/>
      <c r="Z859" s="6"/>
      <c r="AA859" s="6" t="s">
        <v>339</v>
      </c>
      <c r="AB859" s="8"/>
    </row>
    <row r="860" spans="1:28" s="4" customFormat="1" ht="42" customHeight="1">
      <c r="A860" s="5">
        <v>0</v>
      </c>
      <c r="B860" s="6" t="s">
        <v>5204</v>
      </c>
      <c r="C860" s="7">
        <v>1764</v>
      </c>
      <c r="D860" s="8" t="s">
        <v>5205</v>
      </c>
      <c r="E860" s="8" t="s">
        <v>5206</v>
      </c>
      <c r="F860" s="8" t="s">
        <v>5207</v>
      </c>
      <c r="G860" s="6" t="s">
        <v>81</v>
      </c>
      <c r="H860" s="6" t="s">
        <v>39</v>
      </c>
      <c r="I860" s="8" t="s">
        <v>3186</v>
      </c>
      <c r="J860" s="9">
        <v>1</v>
      </c>
      <c r="K860" s="9">
        <v>311</v>
      </c>
      <c r="L860" s="9">
        <v>2024</v>
      </c>
      <c r="M860" s="8" t="s">
        <v>5208</v>
      </c>
      <c r="N860" s="8" t="s">
        <v>42</v>
      </c>
      <c r="O860" s="8" t="s">
        <v>101</v>
      </c>
      <c r="P860" s="6" t="s">
        <v>44</v>
      </c>
      <c r="Q860" s="8" t="s">
        <v>45</v>
      </c>
      <c r="R860" s="10" t="s">
        <v>2490</v>
      </c>
      <c r="S860" s="11"/>
      <c r="T860" s="6"/>
      <c r="U860" s="24" t="str">
        <f>HYPERLINK("https://media.infra-m.ru/2137/2137060/cover/2137060.jpg", "Обложка")</f>
        <v>Обложка</v>
      </c>
      <c r="V860" s="24" t="str">
        <f>HYPERLINK("https://znanium.ru/catalog/product/2137060", "Ознакомиться")</f>
        <v>Ознакомиться</v>
      </c>
      <c r="W860" s="8" t="s">
        <v>3188</v>
      </c>
      <c r="X860" s="6"/>
      <c r="Y860" s="6"/>
      <c r="Z860" s="6"/>
      <c r="AA860" s="6" t="s">
        <v>566</v>
      </c>
      <c r="AB860" s="8"/>
    </row>
    <row r="861" spans="1:28" s="4" customFormat="1" ht="51.95" customHeight="1">
      <c r="A861" s="5">
        <v>0</v>
      </c>
      <c r="B861" s="6" t="s">
        <v>5209</v>
      </c>
      <c r="C861" s="13">
        <v>892.8</v>
      </c>
      <c r="D861" s="8" t="s">
        <v>5210</v>
      </c>
      <c r="E861" s="8" t="s">
        <v>5211</v>
      </c>
      <c r="F861" s="8" t="s">
        <v>5212</v>
      </c>
      <c r="G861" s="6" t="s">
        <v>38</v>
      </c>
      <c r="H861" s="6" t="s">
        <v>2052</v>
      </c>
      <c r="I861" s="8"/>
      <c r="J861" s="9">
        <v>1</v>
      </c>
      <c r="K861" s="9">
        <v>192</v>
      </c>
      <c r="L861" s="9">
        <v>2024</v>
      </c>
      <c r="M861" s="8" t="s">
        <v>5213</v>
      </c>
      <c r="N861" s="8" t="s">
        <v>42</v>
      </c>
      <c r="O861" s="8" t="s">
        <v>101</v>
      </c>
      <c r="P861" s="6" t="s">
        <v>44</v>
      </c>
      <c r="Q861" s="8" t="s">
        <v>45</v>
      </c>
      <c r="R861" s="10" t="s">
        <v>5214</v>
      </c>
      <c r="S861" s="11"/>
      <c r="T861" s="6"/>
      <c r="U861" s="24" t="str">
        <f>HYPERLINK("https://media.infra-m.ru/1913/1913787/cover/1913787.jpg", "Обложка")</f>
        <v>Обложка</v>
      </c>
      <c r="V861" s="12"/>
      <c r="W861" s="8" t="s">
        <v>3188</v>
      </c>
      <c r="X861" s="6"/>
      <c r="Y861" s="6"/>
      <c r="Z861" s="6"/>
      <c r="AA861" s="6" t="s">
        <v>5215</v>
      </c>
      <c r="AB861" s="8"/>
    </row>
    <row r="862" spans="1:28" s="4" customFormat="1" ht="42" customHeight="1">
      <c r="A862" s="5">
        <v>0</v>
      </c>
      <c r="B862" s="6" t="s">
        <v>5216</v>
      </c>
      <c r="C862" s="7">
        <v>1524</v>
      </c>
      <c r="D862" s="8" t="s">
        <v>5217</v>
      </c>
      <c r="E862" s="8" t="s">
        <v>5218</v>
      </c>
      <c r="F862" s="8" t="s">
        <v>5219</v>
      </c>
      <c r="G862" s="6" t="s">
        <v>38</v>
      </c>
      <c r="H862" s="6" t="s">
        <v>182</v>
      </c>
      <c r="I862" s="8" t="s">
        <v>40</v>
      </c>
      <c r="J862" s="9">
        <v>1</v>
      </c>
      <c r="K862" s="9">
        <v>281</v>
      </c>
      <c r="L862" s="9">
        <v>2023</v>
      </c>
      <c r="M862" s="8" t="s">
        <v>5220</v>
      </c>
      <c r="N862" s="8" t="s">
        <v>284</v>
      </c>
      <c r="O862" s="8" t="s">
        <v>383</v>
      </c>
      <c r="P862" s="6" t="s">
        <v>44</v>
      </c>
      <c r="Q862" s="8" t="s">
        <v>45</v>
      </c>
      <c r="R862" s="10" t="s">
        <v>5221</v>
      </c>
      <c r="S862" s="11"/>
      <c r="T862" s="6"/>
      <c r="U862" s="24" t="str">
        <f>HYPERLINK("https://media.infra-m.ru/2020/2020522/cover/2020522.jpg", "Обложка")</f>
        <v>Обложка</v>
      </c>
      <c r="V862" s="24" t="str">
        <f>HYPERLINK("https://znanium.ru/catalog/product/2020522", "Ознакомиться")</f>
        <v>Ознакомиться</v>
      </c>
      <c r="W862" s="8" t="s">
        <v>5222</v>
      </c>
      <c r="X862" s="6"/>
      <c r="Y862" s="6"/>
      <c r="Z862" s="6"/>
      <c r="AA862" s="6" t="s">
        <v>377</v>
      </c>
      <c r="AB862" s="8"/>
    </row>
    <row r="863" spans="1:28" s="4" customFormat="1" ht="51.95" customHeight="1">
      <c r="A863" s="5">
        <v>0</v>
      </c>
      <c r="B863" s="6" t="s">
        <v>5223</v>
      </c>
      <c r="C863" s="7">
        <v>1192.8</v>
      </c>
      <c r="D863" s="8" t="s">
        <v>5224</v>
      </c>
      <c r="E863" s="8" t="s">
        <v>5225</v>
      </c>
      <c r="F863" s="8" t="s">
        <v>5226</v>
      </c>
      <c r="G863" s="6" t="s">
        <v>38</v>
      </c>
      <c r="H863" s="6" t="s">
        <v>39</v>
      </c>
      <c r="I863" s="8" t="s">
        <v>40</v>
      </c>
      <c r="J863" s="9">
        <v>1</v>
      </c>
      <c r="K863" s="9">
        <v>192</v>
      </c>
      <c r="L863" s="9">
        <v>2025</v>
      </c>
      <c r="M863" s="8" t="s">
        <v>5227</v>
      </c>
      <c r="N863" s="8" t="s">
        <v>284</v>
      </c>
      <c r="O863" s="8" t="s">
        <v>383</v>
      </c>
      <c r="P863" s="6" t="s">
        <v>44</v>
      </c>
      <c r="Q863" s="8" t="s">
        <v>45</v>
      </c>
      <c r="R863" s="10" t="s">
        <v>5228</v>
      </c>
      <c r="S863" s="11"/>
      <c r="T863" s="6"/>
      <c r="U863" s="24" t="str">
        <f>HYPERLINK("https://media.infra-m.ru/2178/2178805/cover/2178805.jpg", "Обложка")</f>
        <v>Обложка</v>
      </c>
      <c r="V863" s="24" t="str">
        <f>HYPERLINK("https://znanium.ru/catalog/product/1816421", "Ознакомиться")</f>
        <v>Ознакомиться</v>
      </c>
      <c r="W863" s="8" t="s">
        <v>5229</v>
      </c>
      <c r="X863" s="6"/>
      <c r="Y863" s="6"/>
      <c r="Z863" s="6"/>
      <c r="AA863" s="6" t="s">
        <v>168</v>
      </c>
      <c r="AB863" s="8"/>
    </row>
    <row r="864" spans="1:28" s="4" customFormat="1" ht="51.95" customHeight="1">
      <c r="A864" s="5">
        <v>0</v>
      </c>
      <c r="B864" s="6" t="s">
        <v>5230</v>
      </c>
      <c r="C864" s="7">
        <v>1048.8</v>
      </c>
      <c r="D864" s="8" t="s">
        <v>5231</v>
      </c>
      <c r="E864" s="8" t="s">
        <v>5232</v>
      </c>
      <c r="F864" s="8" t="s">
        <v>697</v>
      </c>
      <c r="G864" s="6" t="s">
        <v>38</v>
      </c>
      <c r="H864" s="6" t="s">
        <v>39</v>
      </c>
      <c r="I864" s="8" t="s">
        <v>40</v>
      </c>
      <c r="J864" s="9">
        <v>1</v>
      </c>
      <c r="K864" s="9">
        <v>193</v>
      </c>
      <c r="L864" s="9">
        <v>2023</v>
      </c>
      <c r="M864" s="8" t="s">
        <v>5233</v>
      </c>
      <c r="N864" s="8" t="s">
        <v>54</v>
      </c>
      <c r="O864" s="8" t="s">
        <v>91</v>
      </c>
      <c r="P864" s="6" t="s">
        <v>44</v>
      </c>
      <c r="Q864" s="8" t="s">
        <v>45</v>
      </c>
      <c r="R864" s="10" t="s">
        <v>92</v>
      </c>
      <c r="S864" s="11"/>
      <c r="T864" s="6"/>
      <c r="U864" s="24" t="str">
        <f>HYPERLINK("https://media.infra-m.ru/2030/2030865/cover/2030865.jpg", "Обложка")</f>
        <v>Обложка</v>
      </c>
      <c r="V864" s="24" t="str">
        <f>HYPERLINK("https://znanium.ru/catalog/product/2030865", "Ознакомиться")</f>
        <v>Ознакомиться</v>
      </c>
      <c r="W864" s="8" t="s">
        <v>699</v>
      </c>
      <c r="X864" s="6"/>
      <c r="Y864" s="6"/>
      <c r="Z864" s="6"/>
      <c r="AA864" s="6" t="s">
        <v>76</v>
      </c>
      <c r="AB864" s="8"/>
    </row>
    <row r="865" spans="1:28" s="4" customFormat="1" ht="42" customHeight="1">
      <c r="A865" s="5">
        <v>0</v>
      </c>
      <c r="B865" s="6" t="s">
        <v>5234</v>
      </c>
      <c r="C865" s="13">
        <v>917.9</v>
      </c>
      <c r="D865" s="8" t="s">
        <v>5235</v>
      </c>
      <c r="E865" s="8" t="s">
        <v>5236</v>
      </c>
      <c r="F865" s="8" t="s">
        <v>5237</v>
      </c>
      <c r="G865" s="6" t="s">
        <v>38</v>
      </c>
      <c r="H865" s="6" t="s">
        <v>39</v>
      </c>
      <c r="I865" s="8" t="s">
        <v>40</v>
      </c>
      <c r="J865" s="9">
        <v>1</v>
      </c>
      <c r="K865" s="9">
        <v>207</v>
      </c>
      <c r="L865" s="9">
        <v>2020</v>
      </c>
      <c r="M865" s="8" t="s">
        <v>5238</v>
      </c>
      <c r="N865" s="8" t="s">
        <v>42</v>
      </c>
      <c r="O865" s="8" t="s">
        <v>155</v>
      </c>
      <c r="P865" s="6" t="s">
        <v>44</v>
      </c>
      <c r="Q865" s="8" t="s">
        <v>45</v>
      </c>
      <c r="R865" s="10" t="s">
        <v>2503</v>
      </c>
      <c r="S865" s="11"/>
      <c r="T865" s="6"/>
      <c r="U865" s="24" t="str">
        <f>HYPERLINK("https://media.infra-m.ru/1047/1047145/cover/1047145.jpg", "Обложка")</f>
        <v>Обложка</v>
      </c>
      <c r="V865" s="24" t="str">
        <f>HYPERLINK("https://znanium.ru/catalog/product/986695", "Ознакомиться")</f>
        <v>Ознакомиться</v>
      </c>
      <c r="W865" s="8" t="s">
        <v>1323</v>
      </c>
      <c r="X865" s="6"/>
      <c r="Y865" s="6"/>
      <c r="Z865" s="6"/>
      <c r="AA865" s="6" t="s">
        <v>369</v>
      </c>
      <c r="AB865" s="8"/>
    </row>
    <row r="866" spans="1:28" s="4" customFormat="1" ht="42" customHeight="1">
      <c r="A866" s="5">
        <v>0</v>
      </c>
      <c r="B866" s="6" t="s">
        <v>5239</v>
      </c>
      <c r="C866" s="7">
        <v>1104</v>
      </c>
      <c r="D866" s="8" t="s">
        <v>5240</v>
      </c>
      <c r="E866" s="8" t="s">
        <v>5241</v>
      </c>
      <c r="F866" s="8" t="s">
        <v>5237</v>
      </c>
      <c r="G866" s="6" t="s">
        <v>38</v>
      </c>
      <c r="H866" s="6" t="s">
        <v>39</v>
      </c>
      <c r="I866" s="8" t="s">
        <v>40</v>
      </c>
      <c r="J866" s="9">
        <v>1</v>
      </c>
      <c r="K866" s="9">
        <v>248</v>
      </c>
      <c r="L866" s="9">
        <v>2021</v>
      </c>
      <c r="M866" s="8" t="s">
        <v>5242</v>
      </c>
      <c r="N866" s="8" t="s">
        <v>42</v>
      </c>
      <c r="O866" s="8" t="s">
        <v>155</v>
      </c>
      <c r="P866" s="6" t="s">
        <v>44</v>
      </c>
      <c r="Q866" s="8" t="s">
        <v>45</v>
      </c>
      <c r="R866" s="10" t="s">
        <v>2503</v>
      </c>
      <c r="S866" s="11"/>
      <c r="T866" s="6"/>
      <c r="U866" s="24" t="str">
        <f>HYPERLINK("https://media.infra-m.ru/0986/0986695/cover/986695.jpg", "Обложка")</f>
        <v>Обложка</v>
      </c>
      <c r="V866" s="24" t="str">
        <f>HYPERLINK("https://znanium.ru/catalog/product/986695", "Ознакомиться")</f>
        <v>Ознакомиться</v>
      </c>
      <c r="W866" s="8" t="s">
        <v>1323</v>
      </c>
      <c r="X866" s="6"/>
      <c r="Y866" s="6"/>
      <c r="Z866" s="6"/>
      <c r="AA866" s="6" t="s">
        <v>1363</v>
      </c>
      <c r="AB866" s="8"/>
    </row>
    <row r="867" spans="1:28" s="4" customFormat="1" ht="51.95" customHeight="1">
      <c r="A867" s="5">
        <v>0</v>
      </c>
      <c r="B867" s="6" t="s">
        <v>5243</v>
      </c>
      <c r="C867" s="7">
        <v>1320</v>
      </c>
      <c r="D867" s="8" t="s">
        <v>5244</v>
      </c>
      <c r="E867" s="8" t="s">
        <v>5245</v>
      </c>
      <c r="F867" s="8" t="s">
        <v>5246</v>
      </c>
      <c r="G867" s="6" t="s">
        <v>38</v>
      </c>
      <c r="H867" s="6" t="s">
        <v>39</v>
      </c>
      <c r="I867" s="8" t="s">
        <v>40</v>
      </c>
      <c r="J867" s="9">
        <v>1</v>
      </c>
      <c r="K867" s="9">
        <v>352</v>
      </c>
      <c r="L867" s="9">
        <v>2021</v>
      </c>
      <c r="M867" s="8" t="s">
        <v>5247</v>
      </c>
      <c r="N867" s="8" t="s">
        <v>42</v>
      </c>
      <c r="O867" s="8" t="s">
        <v>155</v>
      </c>
      <c r="P867" s="6" t="s">
        <v>44</v>
      </c>
      <c r="Q867" s="8" t="s">
        <v>45</v>
      </c>
      <c r="R867" s="10" t="s">
        <v>3997</v>
      </c>
      <c r="S867" s="11"/>
      <c r="T867" s="6"/>
      <c r="U867" s="24" t="str">
        <f>HYPERLINK("https://media.infra-m.ru/1097/1097477/cover/1097477.jpg", "Обложка")</f>
        <v>Обложка</v>
      </c>
      <c r="V867" s="24" t="str">
        <f>HYPERLINK("https://znanium.ru/catalog/product/1097477", "Ознакомиться")</f>
        <v>Ознакомиться</v>
      </c>
      <c r="W867" s="8" t="s">
        <v>1323</v>
      </c>
      <c r="X867" s="6"/>
      <c r="Y867" s="6"/>
      <c r="Z867" s="6"/>
      <c r="AA867" s="6" t="s">
        <v>199</v>
      </c>
      <c r="AB867" s="8"/>
    </row>
    <row r="868" spans="1:28" s="4" customFormat="1" ht="51.95" customHeight="1">
      <c r="A868" s="5">
        <v>0</v>
      </c>
      <c r="B868" s="6" t="s">
        <v>5248</v>
      </c>
      <c r="C868" s="7">
        <v>2200.8000000000002</v>
      </c>
      <c r="D868" s="8" t="s">
        <v>5249</v>
      </c>
      <c r="E868" s="8" t="s">
        <v>5250</v>
      </c>
      <c r="F868" s="8" t="s">
        <v>5237</v>
      </c>
      <c r="G868" s="6" t="s">
        <v>38</v>
      </c>
      <c r="H868" s="6" t="s">
        <v>39</v>
      </c>
      <c r="I868" s="8" t="s">
        <v>40</v>
      </c>
      <c r="J868" s="9">
        <v>1</v>
      </c>
      <c r="K868" s="9">
        <v>353</v>
      </c>
      <c r="L868" s="9">
        <v>2026</v>
      </c>
      <c r="M868" s="8" t="s">
        <v>5251</v>
      </c>
      <c r="N868" s="8" t="s">
        <v>220</v>
      </c>
      <c r="O868" s="8" t="s">
        <v>252</v>
      </c>
      <c r="P868" s="6" t="s">
        <v>44</v>
      </c>
      <c r="Q868" s="8" t="s">
        <v>45</v>
      </c>
      <c r="R868" s="10" t="s">
        <v>5252</v>
      </c>
      <c r="S868" s="11"/>
      <c r="T868" s="6"/>
      <c r="U868" s="24" t="str">
        <f>HYPERLINK("https://media.infra-m.ru/2222/2222232/cover/2222232.jpg", "Обложка")</f>
        <v>Обложка</v>
      </c>
      <c r="V868" s="24" t="str">
        <f>HYPERLINK("https://znanium.ru/catalog/product/1896110", "Ознакомиться")</f>
        <v>Ознакомиться</v>
      </c>
      <c r="W868" s="8" t="s">
        <v>1323</v>
      </c>
      <c r="X868" s="6"/>
      <c r="Y868" s="6"/>
      <c r="Z868" s="6"/>
      <c r="AA868" s="6" t="s">
        <v>725</v>
      </c>
      <c r="AB868" s="8"/>
    </row>
    <row r="869" spans="1:28" s="4" customFormat="1" ht="51.95" customHeight="1">
      <c r="A869" s="5">
        <v>0</v>
      </c>
      <c r="B869" s="6" t="s">
        <v>5253</v>
      </c>
      <c r="C869" s="13">
        <v>732</v>
      </c>
      <c r="D869" s="8" t="s">
        <v>5254</v>
      </c>
      <c r="E869" s="8" t="s">
        <v>5255</v>
      </c>
      <c r="F869" s="8" t="s">
        <v>5237</v>
      </c>
      <c r="G869" s="6" t="s">
        <v>38</v>
      </c>
      <c r="H869" s="6" t="s">
        <v>39</v>
      </c>
      <c r="I869" s="8" t="s">
        <v>40</v>
      </c>
      <c r="J869" s="9">
        <v>1</v>
      </c>
      <c r="K869" s="9">
        <v>160</v>
      </c>
      <c r="L869" s="9">
        <v>2021</v>
      </c>
      <c r="M869" s="8" t="s">
        <v>5256</v>
      </c>
      <c r="N869" s="8" t="s">
        <v>220</v>
      </c>
      <c r="O869" s="8" t="s">
        <v>252</v>
      </c>
      <c r="P869" s="6" t="s">
        <v>44</v>
      </c>
      <c r="Q869" s="8" t="s">
        <v>45</v>
      </c>
      <c r="R869" s="10" t="s">
        <v>5252</v>
      </c>
      <c r="S869" s="11"/>
      <c r="T869" s="6"/>
      <c r="U869" s="24" t="str">
        <f>HYPERLINK("https://media.infra-m.ru/1516/1516204/cover/1516204.jpg", "Обложка")</f>
        <v>Обложка</v>
      </c>
      <c r="V869" s="24" t="str">
        <f>HYPERLINK("https://znanium.ru/catalog/product/1896110", "Ознакомиться")</f>
        <v>Ознакомиться</v>
      </c>
      <c r="W869" s="8" t="s">
        <v>1323</v>
      </c>
      <c r="X869" s="6"/>
      <c r="Y869" s="6"/>
      <c r="Z869" s="6"/>
      <c r="AA869" s="6" t="s">
        <v>377</v>
      </c>
      <c r="AB869" s="8"/>
    </row>
    <row r="870" spans="1:28" s="4" customFormat="1" ht="51.95" customHeight="1">
      <c r="A870" s="5">
        <v>0</v>
      </c>
      <c r="B870" s="6" t="s">
        <v>5257</v>
      </c>
      <c r="C870" s="13">
        <v>852</v>
      </c>
      <c r="D870" s="8" t="s">
        <v>5258</v>
      </c>
      <c r="E870" s="8" t="s">
        <v>5259</v>
      </c>
      <c r="F870" s="8" t="s">
        <v>5246</v>
      </c>
      <c r="G870" s="6" t="s">
        <v>38</v>
      </c>
      <c r="H870" s="6" t="s">
        <v>39</v>
      </c>
      <c r="I870" s="8" t="s">
        <v>40</v>
      </c>
      <c r="J870" s="9">
        <v>1</v>
      </c>
      <c r="K870" s="9">
        <v>183</v>
      </c>
      <c r="L870" s="9">
        <v>2022</v>
      </c>
      <c r="M870" s="8" t="s">
        <v>5260</v>
      </c>
      <c r="N870" s="8" t="s">
        <v>220</v>
      </c>
      <c r="O870" s="8" t="s">
        <v>252</v>
      </c>
      <c r="P870" s="6" t="s">
        <v>44</v>
      </c>
      <c r="Q870" s="8" t="s">
        <v>45</v>
      </c>
      <c r="R870" s="10" t="s">
        <v>5261</v>
      </c>
      <c r="S870" s="11"/>
      <c r="T870" s="6"/>
      <c r="U870" s="24" t="str">
        <f>HYPERLINK("https://media.infra-m.ru/1859/1859039/cover/1859039.jpg", "Обложка")</f>
        <v>Обложка</v>
      </c>
      <c r="V870" s="24" t="str">
        <f>HYPERLINK("https://znanium.ru/catalog/product/1859039", "Ознакомиться")</f>
        <v>Ознакомиться</v>
      </c>
      <c r="W870" s="8" t="s">
        <v>1323</v>
      </c>
      <c r="X870" s="6"/>
      <c r="Y870" s="6"/>
      <c r="Z870" s="6"/>
      <c r="AA870" s="6" t="s">
        <v>339</v>
      </c>
      <c r="AB870" s="8"/>
    </row>
    <row r="871" spans="1:28" s="4" customFormat="1" ht="44.1" customHeight="1">
      <c r="A871" s="5">
        <v>0</v>
      </c>
      <c r="B871" s="6" t="s">
        <v>5262</v>
      </c>
      <c r="C871" s="13">
        <v>696</v>
      </c>
      <c r="D871" s="8" t="s">
        <v>5263</v>
      </c>
      <c r="E871" s="8" t="s">
        <v>5264</v>
      </c>
      <c r="F871" s="8" t="s">
        <v>789</v>
      </c>
      <c r="G871" s="6" t="s">
        <v>38</v>
      </c>
      <c r="H871" s="6" t="s">
        <v>39</v>
      </c>
      <c r="I871" s="8" t="s">
        <v>40</v>
      </c>
      <c r="J871" s="9">
        <v>1</v>
      </c>
      <c r="K871" s="9">
        <v>137</v>
      </c>
      <c r="L871" s="9">
        <v>2022</v>
      </c>
      <c r="M871" s="8" t="s">
        <v>5265</v>
      </c>
      <c r="N871" s="8" t="s">
        <v>54</v>
      </c>
      <c r="O871" s="8" t="s">
        <v>91</v>
      </c>
      <c r="P871" s="6" t="s">
        <v>44</v>
      </c>
      <c r="Q871" s="8" t="s">
        <v>45</v>
      </c>
      <c r="R871" s="10" t="s">
        <v>5266</v>
      </c>
      <c r="S871" s="11"/>
      <c r="T871" s="6"/>
      <c r="U871" s="24" t="str">
        <f>HYPERLINK("https://media.infra-m.ru/1874/1874581/cover/1874581.jpg", "Обложка")</f>
        <v>Обложка</v>
      </c>
      <c r="V871" s="24" t="str">
        <f>HYPERLINK("https://znanium.ru/catalog/product/1874581", "Ознакомиться")</f>
        <v>Ознакомиться</v>
      </c>
      <c r="W871" s="8" t="s">
        <v>791</v>
      </c>
      <c r="X871" s="6"/>
      <c r="Y871" s="6"/>
      <c r="Z871" s="6"/>
      <c r="AA871" s="6" t="s">
        <v>68</v>
      </c>
      <c r="AB871" s="8"/>
    </row>
    <row r="872" spans="1:28" s="4" customFormat="1" ht="51.95" customHeight="1">
      <c r="A872" s="5">
        <v>0</v>
      </c>
      <c r="B872" s="6" t="s">
        <v>5267</v>
      </c>
      <c r="C872" s="13">
        <v>652.79999999999995</v>
      </c>
      <c r="D872" s="8" t="s">
        <v>5268</v>
      </c>
      <c r="E872" s="8" t="s">
        <v>5269</v>
      </c>
      <c r="F872" s="8" t="s">
        <v>697</v>
      </c>
      <c r="G872" s="6" t="s">
        <v>38</v>
      </c>
      <c r="H872" s="6" t="s">
        <v>39</v>
      </c>
      <c r="I872" s="8" t="s">
        <v>40</v>
      </c>
      <c r="J872" s="9">
        <v>1</v>
      </c>
      <c r="K872" s="9">
        <v>118</v>
      </c>
      <c r="L872" s="9">
        <v>2024</v>
      </c>
      <c r="M872" s="8" t="s">
        <v>5270</v>
      </c>
      <c r="N872" s="8" t="s">
        <v>54</v>
      </c>
      <c r="O872" s="8" t="s">
        <v>91</v>
      </c>
      <c r="P872" s="6" t="s">
        <v>44</v>
      </c>
      <c r="Q872" s="8" t="s">
        <v>45</v>
      </c>
      <c r="R872" s="10" t="s">
        <v>92</v>
      </c>
      <c r="S872" s="11"/>
      <c r="T872" s="6"/>
      <c r="U872" s="24" t="str">
        <f>HYPERLINK("https://media.infra-m.ru/2087/2087280/cover/2087280.jpg", "Обложка")</f>
        <v>Обложка</v>
      </c>
      <c r="V872" s="24" t="str">
        <f>HYPERLINK("https://znanium.ru/catalog/product/1852246", "Ознакомиться")</f>
        <v>Ознакомиться</v>
      </c>
      <c r="W872" s="8" t="s">
        <v>699</v>
      </c>
      <c r="X872" s="6"/>
      <c r="Y872" s="6"/>
      <c r="Z872" s="6"/>
      <c r="AA872" s="6" t="s">
        <v>377</v>
      </c>
      <c r="AB872" s="8"/>
    </row>
    <row r="873" spans="1:28" s="4" customFormat="1" ht="51.95" customHeight="1">
      <c r="A873" s="5">
        <v>0</v>
      </c>
      <c r="B873" s="6" t="s">
        <v>5271</v>
      </c>
      <c r="C873" s="7">
        <v>2304</v>
      </c>
      <c r="D873" s="8" t="s">
        <v>5272</v>
      </c>
      <c r="E873" s="8" t="s">
        <v>5273</v>
      </c>
      <c r="F873" s="8" t="s">
        <v>5274</v>
      </c>
      <c r="G873" s="6" t="s">
        <v>81</v>
      </c>
      <c r="H873" s="6" t="s">
        <v>39</v>
      </c>
      <c r="I873" s="8" t="s">
        <v>40</v>
      </c>
      <c r="J873" s="9">
        <v>1</v>
      </c>
      <c r="K873" s="9">
        <v>364</v>
      </c>
      <c r="L873" s="9">
        <v>2026</v>
      </c>
      <c r="M873" s="8" t="s">
        <v>5275</v>
      </c>
      <c r="N873" s="8" t="s">
        <v>42</v>
      </c>
      <c r="O873" s="8" t="s">
        <v>189</v>
      </c>
      <c r="P873" s="6" t="s">
        <v>44</v>
      </c>
      <c r="Q873" s="8" t="s">
        <v>45</v>
      </c>
      <c r="R873" s="10" t="s">
        <v>5276</v>
      </c>
      <c r="S873" s="11"/>
      <c r="T873" s="6" t="s">
        <v>1080</v>
      </c>
      <c r="U873" s="24" t="str">
        <f>HYPERLINK("https://media.infra-m.ru/2221/2221548/cover/2221548.jpg", "Обложка")</f>
        <v>Обложка</v>
      </c>
      <c r="V873" s="24" t="str">
        <f>HYPERLINK("https://znanium.ru/catalog/product/2221548", "Ознакомиться")</f>
        <v>Ознакомиться</v>
      </c>
      <c r="W873" s="8" t="s">
        <v>5277</v>
      </c>
      <c r="X873" s="6"/>
      <c r="Y873" s="6"/>
      <c r="Z873" s="6"/>
      <c r="AA873" s="6" t="s">
        <v>369</v>
      </c>
      <c r="AB873" s="8"/>
    </row>
    <row r="874" spans="1:28" s="4" customFormat="1" ht="51.95" customHeight="1">
      <c r="A874" s="5">
        <v>0</v>
      </c>
      <c r="B874" s="6" t="s">
        <v>5278</v>
      </c>
      <c r="C874" s="13">
        <v>900</v>
      </c>
      <c r="D874" s="8" t="s">
        <v>5279</v>
      </c>
      <c r="E874" s="8" t="s">
        <v>5280</v>
      </c>
      <c r="F874" s="8" t="s">
        <v>5281</v>
      </c>
      <c r="G874" s="6" t="s">
        <v>38</v>
      </c>
      <c r="H874" s="6" t="s">
        <v>39</v>
      </c>
      <c r="I874" s="8"/>
      <c r="J874" s="9">
        <v>1</v>
      </c>
      <c r="K874" s="9">
        <v>137</v>
      </c>
      <c r="L874" s="9">
        <v>2025</v>
      </c>
      <c r="M874" s="8" t="s">
        <v>5282</v>
      </c>
      <c r="N874" s="8" t="s">
        <v>42</v>
      </c>
      <c r="O874" s="8" t="s">
        <v>65</v>
      </c>
      <c r="P874" s="6" t="s">
        <v>286</v>
      </c>
      <c r="Q874" s="8" t="s">
        <v>45</v>
      </c>
      <c r="R874" s="10" t="s">
        <v>680</v>
      </c>
      <c r="S874" s="11"/>
      <c r="T874" s="6"/>
      <c r="U874" s="24" t="str">
        <f>HYPERLINK("https://media.infra-m.ru/2194/2194979/cover/2194979.jpg", "Обложка")</f>
        <v>Обложка</v>
      </c>
      <c r="V874" s="24" t="str">
        <f>HYPERLINK("https://znanium.ru/catalog/product/2194979", "Ознакомиться")</f>
        <v>Ознакомиться</v>
      </c>
      <c r="W874" s="8" t="s">
        <v>3283</v>
      </c>
      <c r="X874" s="6"/>
      <c r="Y874" s="6"/>
      <c r="Z874" s="6"/>
      <c r="AA874" s="6" t="s">
        <v>68</v>
      </c>
      <c r="AB874" s="8"/>
    </row>
    <row r="875" spans="1:28" s="4" customFormat="1" ht="51.95" customHeight="1">
      <c r="A875" s="5">
        <v>0</v>
      </c>
      <c r="B875" s="6" t="s">
        <v>5283</v>
      </c>
      <c r="C875" s="7">
        <v>1380</v>
      </c>
      <c r="D875" s="8" t="s">
        <v>5284</v>
      </c>
      <c r="E875" s="8" t="s">
        <v>5285</v>
      </c>
      <c r="F875" s="8" t="s">
        <v>5286</v>
      </c>
      <c r="G875" s="6" t="s">
        <v>132</v>
      </c>
      <c r="H875" s="6" t="s">
        <v>571</v>
      </c>
      <c r="I875" s="8"/>
      <c r="J875" s="9">
        <v>1</v>
      </c>
      <c r="K875" s="9">
        <v>528</v>
      </c>
      <c r="L875" s="9">
        <v>2018</v>
      </c>
      <c r="M875" s="8" t="s">
        <v>5287</v>
      </c>
      <c r="N875" s="8" t="s">
        <v>42</v>
      </c>
      <c r="O875" s="8" t="s">
        <v>65</v>
      </c>
      <c r="P875" s="6" t="s">
        <v>44</v>
      </c>
      <c r="Q875" s="8" t="s">
        <v>45</v>
      </c>
      <c r="R875" s="10" t="s">
        <v>5288</v>
      </c>
      <c r="S875" s="11"/>
      <c r="T875" s="6"/>
      <c r="U875" s="24" t="str">
        <f>HYPERLINK("https://media.infra-m.ru/0910/0910416/cover/910416.jpg", "Обложка")</f>
        <v>Обложка</v>
      </c>
      <c r="V875" s="24" t="str">
        <f>HYPERLINK("https://znanium.ru/catalog/product/910416", "Ознакомиться")</f>
        <v>Ознакомиться</v>
      </c>
      <c r="W875" s="8" t="s">
        <v>2309</v>
      </c>
      <c r="X875" s="6"/>
      <c r="Y875" s="6"/>
      <c r="Z875" s="6"/>
      <c r="AA875" s="6" t="s">
        <v>290</v>
      </c>
      <c r="AB875" s="8"/>
    </row>
    <row r="876" spans="1:28" s="4" customFormat="1" ht="44.1" customHeight="1">
      <c r="A876" s="5">
        <v>0</v>
      </c>
      <c r="B876" s="6" t="s">
        <v>5289</v>
      </c>
      <c r="C876" s="7">
        <v>1288.8</v>
      </c>
      <c r="D876" s="8" t="s">
        <v>5290</v>
      </c>
      <c r="E876" s="8" t="s">
        <v>5291</v>
      </c>
      <c r="F876" s="8" t="s">
        <v>5292</v>
      </c>
      <c r="G876" s="6" t="s">
        <v>132</v>
      </c>
      <c r="H876" s="6" t="s">
        <v>1019</v>
      </c>
      <c r="I876" s="8" t="s">
        <v>1020</v>
      </c>
      <c r="J876" s="9">
        <v>1</v>
      </c>
      <c r="K876" s="9">
        <v>207</v>
      </c>
      <c r="L876" s="9">
        <v>2026</v>
      </c>
      <c r="M876" s="8" t="s">
        <v>5293</v>
      </c>
      <c r="N876" s="8" t="s">
        <v>42</v>
      </c>
      <c r="O876" s="8" t="s">
        <v>43</v>
      </c>
      <c r="P876" s="6" t="s">
        <v>44</v>
      </c>
      <c r="Q876" s="8" t="s">
        <v>45</v>
      </c>
      <c r="R876" s="10" t="s">
        <v>5294</v>
      </c>
      <c r="S876" s="11"/>
      <c r="T876" s="6"/>
      <c r="U876" s="24" t="str">
        <f>HYPERLINK("https://media.infra-m.ru/2218/2218862/cover/2218862.jpg", "Обложка")</f>
        <v>Обложка</v>
      </c>
      <c r="V876" s="24" t="str">
        <f>HYPERLINK("https://znanium.ru/catalog/product/1914094", "Ознакомиться")</f>
        <v>Ознакомиться</v>
      </c>
      <c r="W876" s="8" t="s">
        <v>167</v>
      </c>
      <c r="X876" s="6"/>
      <c r="Y876" s="6"/>
      <c r="Z876" s="6"/>
      <c r="AA876" s="6" t="s">
        <v>48</v>
      </c>
      <c r="AB876" s="8"/>
    </row>
    <row r="877" spans="1:28" s="4" customFormat="1" ht="42" customHeight="1">
      <c r="A877" s="5">
        <v>0</v>
      </c>
      <c r="B877" s="6" t="s">
        <v>5295</v>
      </c>
      <c r="C877" s="7">
        <v>1992</v>
      </c>
      <c r="D877" s="8" t="s">
        <v>5296</v>
      </c>
      <c r="E877" s="8" t="s">
        <v>5297</v>
      </c>
      <c r="F877" s="8" t="s">
        <v>5298</v>
      </c>
      <c r="G877" s="6" t="s">
        <v>81</v>
      </c>
      <c r="H877" s="6" t="s">
        <v>39</v>
      </c>
      <c r="I877" s="8" t="s">
        <v>344</v>
      </c>
      <c r="J877" s="9">
        <v>1</v>
      </c>
      <c r="K877" s="9">
        <v>360</v>
      </c>
      <c r="L877" s="9">
        <v>2024</v>
      </c>
      <c r="M877" s="8" t="s">
        <v>5299</v>
      </c>
      <c r="N877" s="8" t="s">
        <v>42</v>
      </c>
      <c r="O877" s="8" t="s">
        <v>1002</v>
      </c>
      <c r="P877" s="6" t="s">
        <v>44</v>
      </c>
      <c r="Q877" s="8" t="s">
        <v>45</v>
      </c>
      <c r="R877" s="10" t="s">
        <v>5300</v>
      </c>
      <c r="S877" s="11"/>
      <c r="T877" s="6"/>
      <c r="U877" s="24" t="str">
        <f>HYPERLINK("https://media.infra-m.ru/2125/2125129/cover/2125129.jpg", "Обложка")</f>
        <v>Обложка</v>
      </c>
      <c r="V877" s="12"/>
      <c r="W877" s="8" t="s">
        <v>346</v>
      </c>
      <c r="X877" s="6"/>
      <c r="Y877" s="6"/>
      <c r="Z877" s="6"/>
      <c r="AA877" s="6" t="s">
        <v>68</v>
      </c>
      <c r="AB877" s="8"/>
    </row>
    <row r="878" spans="1:28" s="4" customFormat="1" ht="51.95" customHeight="1">
      <c r="A878" s="5">
        <v>0</v>
      </c>
      <c r="B878" s="6" t="s">
        <v>5301</v>
      </c>
      <c r="C878" s="7">
        <v>1372.8</v>
      </c>
      <c r="D878" s="8" t="s">
        <v>5302</v>
      </c>
      <c r="E878" s="8" t="s">
        <v>5303</v>
      </c>
      <c r="F878" s="8" t="s">
        <v>5304</v>
      </c>
      <c r="G878" s="6" t="s">
        <v>38</v>
      </c>
      <c r="H878" s="6" t="s">
        <v>182</v>
      </c>
      <c r="I878" s="8" t="s">
        <v>40</v>
      </c>
      <c r="J878" s="9">
        <v>1</v>
      </c>
      <c r="K878" s="9">
        <v>248</v>
      </c>
      <c r="L878" s="9">
        <v>2024</v>
      </c>
      <c r="M878" s="8" t="s">
        <v>5305</v>
      </c>
      <c r="N878" s="8" t="s">
        <v>42</v>
      </c>
      <c r="O878" s="8" t="s">
        <v>246</v>
      </c>
      <c r="P878" s="6" t="s">
        <v>44</v>
      </c>
      <c r="Q878" s="8" t="s">
        <v>45</v>
      </c>
      <c r="R878" s="10" t="s">
        <v>5306</v>
      </c>
      <c r="S878" s="11"/>
      <c r="T878" s="6"/>
      <c r="U878" s="24" t="str">
        <f>HYPERLINK("https://media.infra-m.ru/2117/2117117/cover/2117117.jpg", "Обложка")</f>
        <v>Обложка</v>
      </c>
      <c r="V878" s="24" t="str">
        <f>HYPERLINK("https://znanium.ru/catalog/product/933915", "Ознакомиться")</f>
        <v>Ознакомиться</v>
      </c>
      <c r="W878" s="8" t="s">
        <v>5062</v>
      </c>
      <c r="X878" s="6"/>
      <c r="Y878" s="6"/>
      <c r="Z878" s="6"/>
      <c r="AA878" s="6" t="s">
        <v>48</v>
      </c>
      <c r="AB878" s="8"/>
    </row>
    <row r="879" spans="1:28" s="4" customFormat="1" ht="42" customHeight="1">
      <c r="A879" s="5">
        <v>0</v>
      </c>
      <c r="B879" s="6" t="s">
        <v>5307</v>
      </c>
      <c r="C879" s="7">
        <v>1608</v>
      </c>
      <c r="D879" s="8" t="s">
        <v>5308</v>
      </c>
      <c r="E879" s="8" t="s">
        <v>5309</v>
      </c>
      <c r="F879" s="8" t="s">
        <v>5310</v>
      </c>
      <c r="G879" s="6" t="s">
        <v>132</v>
      </c>
      <c r="H879" s="6" t="s">
        <v>571</v>
      </c>
      <c r="I879" s="8"/>
      <c r="J879" s="9">
        <v>1</v>
      </c>
      <c r="K879" s="9">
        <v>296</v>
      </c>
      <c r="L879" s="9">
        <v>2023</v>
      </c>
      <c r="M879" s="8" t="s">
        <v>5311</v>
      </c>
      <c r="N879" s="8" t="s">
        <v>42</v>
      </c>
      <c r="O879" s="8" t="s">
        <v>246</v>
      </c>
      <c r="P879" s="6" t="s">
        <v>44</v>
      </c>
      <c r="Q879" s="8" t="s">
        <v>45</v>
      </c>
      <c r="R879" s="10" t="s">
        <v>2233</v>
      </c>
      <c r="S879" s="11"/>
      <c r="T879" s="6"/>
      <c r="U879" s="24" t="str">
        <f>HYPERLINK("https://media.infra-m.ru/1904/1904716/cover/1904716.jpg", "Обложка")</f>
        <v>Обложка</v>
      </c>
      <c r="V879" s="24" t="str">
        <f>HYPERLINK("https://znanium.ru/catalog/product/1904716", "Ознакомиться")</f>
        <v>Ознакомиться</v>
      </c>
      <c r="W879" s="8"/>
      <c r="X879" s="6"/>
      <c r="Y879" s="6"/>
      <c r="Z879" s="6"/>
      <c r="AA879" s="6" t="s">
        <v>119</v>
      </c>
      <c r="AB879" s="8"/>
    </row>
    <row r="880" spans="1:28" s="4" customFormat="1" ht="42" customHeight="1">
      <c r="A880" s="5">
        <v>0</v>
      </c>
      <c r="B880" s="6" t="s">
        <v>5312</v>
      </c>
      <c r="C880" s="7">
        <v>3352.8</v>
      </c>
      <c r="D880" s="8" t="s">
        <v>5313</v>
      </c>
      <c r="E880" s="8" t="s">
        <v>5314</v>
      </c>
      <c r="F880" s="8" t="s">
        <v>5315</v>
      </c>
      <c r="G880" s="6" t="s">
        <v>132</v>
      </c>
      <c r="H880" s="6" t="s">
        <v>99</v>
      </c>
      <c r="I880" s="8"/>
      <c r="J880" s="9">
        <v>1</v>
      </c>
      <c r="K880" s="9">
        <v>608</v>
      </c>
      <c r="L880" s="9">
        <v>2026</v>
      </c>
      <c r="M880" s="8" t="s">
        <v>5316</v>
      </c>
      <c r="N880" s="8" t="s">
        <v>42</v>
      </c>
      <c r="O880" s="8" t="s">
        <v>101</v>
      </c>
      <c r="P880" s="6" t="s">
        <v>44</v>
      </c>
      <c r="Q880" s="8" t="s">
        <v>45</v>
      </c>
      <c r="R880" s="10" t="s">
        <v>5317</v>
      </c>
      <c r="S880" s="11"/>
      <c r="T880" s="6"/>
      <c r="U880" s="24" t="str">
        <f>HYPERLINK("https://media.infra-m.ru/2215/2215907/cover/2215907.jpg", "Обложка")</f>
        <v>Обложка</v>
      </c>
      <c r="V880" s="24" t="str">
        <f>HYPERLINK("https://znanium.ru/catalog/product/2215907", "Ознакомиться")</f>
        <v>Ознакомиться</v>
      </c>
      <c r="W880" s="8" t="s">
        <v>361</v>
      </c>
      <c r="X880" s="6"/>
      <c r="Y880" s="6"/>
      <c r="Z880" s="6"/>
      <c r="AA880" s="6" t="s">
        <v>127</v>
      </c>
      <c r="AB880" s="8"/>
    </row>
    <row r="881" spans="1:28" s="4" customFormat="1" ht="42" customHeight="1">
      <c r="A881" s="5">
        <v>0</v>
      </c>
      <c r="B881" s="6" t="s">
        <v>5318</v>
      </c>
      <c r="C881" s="13">
        <v>796.8</v>
      </c>
      <c r="D881" s="8" t="s">
        <v>5319</v>
      </c>
      <c r="E881" s="8" t="s">
        <v>5320</v>
      </c>
      <c r="F881" s="8" t="s">
        <v>5321</v>
      </c>
      <c r="G881" s="6" t="s">
        <v>38</v>
      </c>
      <c r="H881" s="6" t="s">
        <v>39</v>
      </c>
      <c r="I881" s="8" t="s">
        <v>40</v>
      </c>
      <c r="J881" s="9">
        <v>1</v>
      </c>
      <c r="K881" s="9">
        <v>120</v>
      </c>
      <c r="L881" s="9">
        <v>2025</v>
      </c>
      <c r="M881" s="8" t="s">
        <v>5322</v>
      </c>
      <c r="N881" s="8" t="s">
        <v>54</v>
      </c>
      <c r="O881" s="8" t="s">
        <v>55</v>
      </c>
      <c r="P881" s="6" t="s">
        <v>44</v>
      </c>
      <c r="Q881" s="8" t="s">
        <v>45</v>
      </c>
      <c r="R881" s="10" t="s">
        <v>5323</v>
      </c>
      <c r="S881" s="11"/>
      <c r="T881" s="6"/>
      <c r="U881" s="24" t="str">
        <f>HYPERLINK("https://media.infra-m.ru/2208/2208454/cover/2208454.jpg", "Обложка")</f>
        <v>Обложка</v>
      </c>
      <c r="V881" s="24" t="str">
        <f>HYPERLINK("https://znanium.ru/catalog/product/967570", "Ознакомиться")</f>
        <v>Ознакомиться</v>
      </c>
      <c r="W881" s="8"/>
      <c r="X881" s="6"/>
      <c r="Y881" s="6"/>
      <c r="Z881" s="6"/>
      <c r="AA881" s="6" t="s">
        <v>892</v>
      </c>
      <c r="AB881" s="8"/>
    </row>
    <row r="882" spans="1:28" s="4" customFormat="1" ht="51.95" customHeight="1">
      <c r="A882" s="5">
        <v>0</v>
      </c>
      <c r="B882" s="6" t="s">
        <v>5324</v>
      </c>
      <c r="C882" s="7">
        <v>1192.8</v>
      </c>
      <c r="D882" s="8" t="s">
        <v>5325</v>
      </c>
      <c r="E882" s="8" t="s">
        <v>5326</v>
      </c>
      <c r="F882" s="8" t="s">
        <v>72</v>
      </c>
      <c r="G882" s="6" t="s">
        <v>81</v>
      </c>
      <c r="H882" s="6" t="s">
        <v>39</v>
      </c>
      <c r="I882" s="8" t="s">
        <v>40</v>
      </c>
      <c r="J882" s="9">
        <v>1</v>
      </c>
      <c r="K882" s="9">
        <v>181</v>
      </c>
      <c r="L882" s="9">
        <v>2026</v>
      </c>
      <c r="M882" s="8" t="s">
        <v>5327</v>
      </c>
      <c r="N882" s="8" t="s">
        <v>54</v>
      </c>
      <c r="O882" s="8" t="s">
        <v>55</v>
      </c>
      <c r="P882" s="6" t="s">
        <v>44</v>
      </c>
      <c r="Q882" s="8" t="s">
        <v>45</v>
      </c>
      <c r="R882" s="10" t="s">
        <v>5328</v>
      </c>
      <c r="S882" s="11"/>
      <c r="T882" s="6"/>
      <c r="U882" s="24" t="str">
        <f>HYPERLINK("https://media.infra-m.ru/2219/2219037/cover/2219037.jpg", "Обложка")</f>
        <v>Обложка</v>
      </c>
      <c r="V882" s="24" t="str">
        <f>HYPERLINK("https://znanium.ru/catalog/product/2198340", "Ознакомиться")</f>
        <v>Ознакомиться</v>
      </c>
      <c r="W882" s="8" t="s">
        <v>75</v>
      </c>
      <c r="X882" s="6"/>
      <c r="Y882" s="6"/>
      <c r="Z882" s="6"/>
      <c r="AA882" s="6" t="s">
        <v>58</v>
      </c>
      <c r="AB882" s="8"/>
    </row>
    <row r="883" spans="1:28" s="4" customFormat="1" ht="42" customHeight="1">
      <c r="A883" s="5">
        <v>0</v>
      </c>
      <c r="B883" s="6" t="s">
        <v>5329</v>
      </c>
      <c r="C883" s="7">
        <v>2080.8000000000002</v>
      </c>
      <c r="D883" s="8" t="s">
        <v>5330</v>
      </c>
      <c r="E883" s="8" t="s">
        <v>5331</v>
      </c>
      <c r="F883" s="8" t="s">
        <v>5332</v>
      </c>
      <c r="G883" s="6" t="s">
        <v>132</v>
      </c>
      <c r="H883" s="6" t="s">
        <v>3369</v>
      </c>
      <c r="I883" s="8" t="s">
        <v>3186</v>
      </c>
      <c r="J883" s="9">
        <v>1</v>
      </c>
      <c r="K883" s="9">
        <v>386</v>
      </c>
      <c r="L883" s="9">
        <v>2024</v>
      </c>
      <c r="M883" s="8" t="s">
        <v>5333</v>
      </c>
      <c r="N883" s="8" t="s">
        <v>42</v>
      </c>
      <c r="O883" s="8" t="s">
        <v>101</v>
      </c>
      <c r="P883" s="6" t="s">
        <v>44</v>
      </c>
      <c r="Q883" s="8" t="s">
        <v>45</v>
      </c>
      <c r="R883" s="10" t="s">
        <v>874</v>
      </c>
      <c r="S883" s="11"/>
      <c r="T883" s="6"/>
      <c r="U883" s="24" t="str">
        <f>HYPERLINK("https://media.infra-m.ru/2058/2058765/cover/2058765.jpg", "Обложка")</f>
        <v>Обложка</v>
      </c>
      <c r="V883" s="12"/>
      <c r="W883" s="8" t="s">
        <v>5334</v>
      </c>
      <c r="X883" s="6"/>
      <c r="Y883" s="6"/>
      <c r="Z883" s="6"/>
      <c r="AA883" s="6" t="s">
        <v>241</v>
      </c>
      <c r="AB883" s="8"/>
    </row>
    <row r="884" spans="1:28" s="4" customFormat="1" ht="42" customHeight="1">
      <c r="A884" s="5">
        <v>0</v>
      </c>
      <c r="B884" s="6" t="s">
        <v>5335</v>
      </c>
      <c r="C884" s="7">
        <v>1620</v>
      </c>
      <c r="D884" s="8" t="s">
        <v>5336</v>
      </c>
      <c r="E884" s="8" t="s">
        <v>5337</v>
      </c>
      <c r="F884" s="8" t="s">
        <v>5338</v>
      </c>
      <c r="G884" s="6" t="s">
        <v>38</v>
      </c>
      <c r="H884" s="6" t="s">
        <v>39</v>
      </c>
      <c r="I884" s="8" t="s">
        <v>40</v>
      </c>
      <c r="J884" s="9">
        <v>1</v>
      </c>
      <c r="K884" s="9">
        <v>181</v>
      </c>
      <c r="L884" s="9">
        <v>2024</v>
      </c>
      <c r="M884" s="8" t="s">
        <v>5339</v>
      </c>
      <c r="N884" s="8" t="s">
        <v>220</v>
      </c>
      <c r="O884" s="8" t="s">
        <v>296</v>
      </c>
      <c r="P884" s="6" t="s">
        <v>44</v>
      </c>
      <c r="Q884" s="8" t="s">
        <v>45</v>
      </c>
      <c r="R884" s="10" t="s">
        <v>5340</v>
      </c>
      <c r="S884" s="11"/>
      <c r="T884" s="6"/>
      <c r="U884" s="24" t="str">
        <f>HYPERLINK("https://media.infra-m.ru/2164/2164856/cover/2164856.jpg", "Обложка")</f>
        <v>Обложка</v>
      </c>
      <c r="V884" s="24" t="str">
        <f>HYPERLINK("https://znanium.ru/catalog/product/2164856", "Ознакомиться")</f>
        <v>Ознакомиться</v>
      </c>
      <c r="W884" s="8" t="s">
        <v>2569</v>
      </c>
      <c r="X884" s="6" t="s">
        <v>558</v>
      </c>
      <c r="Y884" s="6"/>
      <c r="Z884" s="6"/>
      <c r="AA884" s="6" t="s">
        <v>58</v>
      </c>
      <c r="AB884" s="8" t="s">
        <v>1101</v>
      </c>
    </row>
    <row r="885" spans="1:28" s="4" customFormat="1" ht="44.1" customHeight="1">
      <c r="A885" s="5">
        <v>0</v>
      </c>
      <c r="B885" s="6" t="s">
        <v>5341</v>
      </c>
      <c r="C885" s="13">
        <v>900</v>
      </c>
      <c r="D885" s="8" t="s">
        <v>5342</v>
      </c>
      <c r="E885" s="8" t="s">
        <v>5343</v>
      </c>
      <c r="F885" s="8" t="s">
        <v>3270</v>
      </c>
      <c r="G885" s="6" t="s">
        <v>38</v>
      </c>
      <c r="H885" s="6" t="s">
        <v>39</v>
      </c>
      <c r="I885" s="8" t="s">
        <v>40</v>
      </c>
      <c r="J885" s="9">
        <v>1</v>
      </c>
      <c r="K885" s="9">
        <v>187</v>
      </c>
      <c r="L885" s="9">
        <v>2022</v>
      </c>
      <c r="M885" s="8" t="s">
        <v>5344</v>
      </c>
      <c r="N885" s="8" t="s">
        <v>42</v>
      </c>
      <c r="O885" s="8" t="s">
        <v>101</v>
      </c>
      <c r="P885" s="6" t="s">
        <v>44</v>
      </c>
      <c r="Q885" s="8" t="s">
        <v>45</v>
      </c>
      <c r="R885" s="10" t="s">
        <v>2490</v>
      </c>
      <c r="S885" s="11"/>
      <c r="T885" s="6"/>
      <c r="U885" s="24" t="str">
        <f>HYPERLINK("https://media.infra-m.ru/1864/1864098/cover/1864098.jpg", "Обложка")</f>
        <v>Обложка</v>
      </c>
      <c r="V885" s="24" t="str">
        <f>HYPERLINK("https://znanium.ru/catalog/product/1864098", "Ознакомиться")</f>
        <v>Ознакомиться</v>
      </c>
      <c r="W885" s="8" t="s">
        <v>418</v>
      </c>
      <c r="X885" s="6"/>
      <c r="Y885" s="6"/>
      <c r="Z885" s="6"/>
      <c r="AA885" s="6" t="s">
        <v>199</v>
      </c>
      <c r="AB885" s="8"/>
    </row>
    <row r="886" spans="1:28" s="4" customFormat="1" ht="42" customHeight="1">
      <c r="A886" s="5">
        <v>0</v>
      </c>
      <c r="B886" s="6" t="s">
        <v>5345</v>
      </c>
      <c r="C886" s="7">
        <v>1469.9</v>
      </c>
      <c r="D886" s="8" t="s">
        <v>5346</v>
      </c>
      <c r="E886" s="8" t="s">
        <v>5347</v>
      </c>
      <c r="F886" s="8" t="s">
        <v>5348</v>
      </c>
      <c r="G886" s="6" t="s">
        <v>132</v>
      </c>
      <c r="H886" s="6" t="s">
        <v>39</v>
      </c>
      <c r="I886" s="8"/>
      <c r="J886" s="9">
        <v>1</v>
      </c>
      <c r="K886" s="9">
        <v>314</v>
      </c>
      <c r="L886" s="9">
        <v>2022</v>
      </c>
      <c r="M886" s="8" t="s">
        <v>5349</v>
      </c>
      <c r="N886" s="8" t="s">
        <v>284</v>
      </c>
      <c r="O886" s="8" t="s">
        <v>285</v>
      </c>
      <c r="P886" s="6" t="s">
        <v>44</v>
      </c>
      <c r="Q886" s="8" t="s">
        <v>45</v>
      </c>
      <c r="R886" s="10" t="s">
        <v>1493</v>
      </c>
      <c r="S886" s="11"/>
      <c r="T886" s="6"/>
      <c r="U886" s="24" t="str">
        <f>HYPERLINK("https://media.infra-m.ru/1850/1850638/cover/1850638.jpg", "Обложка")</f>
        <v>Обложка</v>
      </c>
      <c r="V886" s="24" t="str">
        <f>HYPERLINK("https://znanium.ru/catalog/product/1081131", "Ознакомиться")</f>
        <v>Ознакомиться</v>
      </c>
      <c r="W886" s="8" t="s">
        <v>191</v>
      </c>
      <c r="X886" s="6"/>
      <c r="Y886" s="6"/>
      <c r="Z886" s="6"/>
      <c r="AA886" s="6" t="s">
        <v>290</v>
      </c>
      <c r="AB886" s="8"/>
    </row>
    <row r="887" spans="1:28" s="4" customFormat="1" ht="42" customHeight="1">
      <c r="A887" s="5">
        <v>0</v>
      </c>
      <c r="B887" s="6" t="s">
        <v>5350</v>
      </c>
      <c r="C887" s="7">
        <v>3616.8</v>
      </c>
      <c r="D887" s="8" t="s">
        <v>5351</v>
      </c>
      <c r="E887" s="8" t="s">
        <v>5352</v>
      </c>
      <c r="F887" s="8" t="s">
        <v>5353</v>
      </c>
      <c r="G887" s="6" t="s">
        <v>132</v>
      </c>
      <c r="H887" s="6" t="s">
        <v>39</v>
      </c>
      <c r="I887" s="8"/>
      <c r="J887" s="9">
        <v>1</v>
      </c>
      <c r="K887" s="9">
        <v>726</v>
      </c>
      <c r="L887" s="9">
        <v>2021</v>
      </c>
      <c r="M887" s="8" t="s">
        <v>5354</v>
      </c>
      <c r="N887" s="8" t="s">
        <v>54</v>
      </c>
      <c r="O887" s="8" t="s">
        <v>55</v>
      </c>
      <c r="P887" s="6" t="s">
        <v>3397</v>
      </c>
      <c r="Q887" s="8" t="s">
        <v>45</v>
      </c>
      <c r="R887" s="10" t="s">
        <v>5355</v>
      </c>
      <c r="S887" s="11"/>
      <c r="T887" s="6"/>
      <c r="U887" s="24" t="str">
        <f>HYPERLINK("https://media.infra-m.ru/2101/2101609/cover/2101609.jpg", "Обложка")</f>
        <v>Обложка</v>
      </c>
      <c r="V887" s="24" t="str">
        <f>HYPERLINK("https://znanium.ru/catalog/product/2030819", "Ознакомиться")</f>
        <v>Ознакомиться</v>
      </c>
      <c r="W887" s="8" t="s">
        <v>5356</v>
      </c>
      <c r="X887" s="6"/>
      <c r="Y887" s="6"/>
      <c r="Z887" s="6"/>
      <c r="AA887" s="6" t="s">
        <v>199</v>
      </c>
      <c r="AB887" s="8"/>
    </row>
    <row r="888" spans="1:28" s="4" customFormat="1" ht="42" customHeight="1">
      <c r="A888" s="5">
        <v>0</v>
      </c>
      <c r="B888" s="6" t="s">
        <v>5357</v>
      </c>
      <c r="C888" s="7">
        <v>1492.8</v>
      </c>
      <c r="D888" s="8" t="s">
        <v>5358</v>
      </c>
      <c r="E888" s="8" t="s">
        <v>5359</v>
      </c>
      <c r="F888" s="8" t="s">
        <v>5360</v>
      </c>
      <c r="G888" s="6" t="s">
        <v>81</v>
      </c>
      <c r="H888" s="6" t="s">
        <v>39</v>
      </c>
      <c r="I888" s="8" t="s">
        <v>1055</v>
      </c>
      <c r="J888" s="9">
        <v>1</v>
      </c>
      <c r="K888" s="9">
        <v>240</v>
      </c>
      <c r="L888" s="9">
        <v>2025</v>
      </c>
      <c r="M888" s="8" t="s">
        <v>5361</v>
      </c>
      <c r="N888" s="8" t="s">
        <v>284</v>
      </c>
      <c r="O888" s="8" t="s">
        <v>482</v>
      </c>
      <c r="P888" s="6" t="s">
        <v>1057</v>
      </c>
      <c r="Q888" s="8"/>
      <c r="R888" s="10" t="s">
        <v>5362</v>
      </c>
      <c r="S888" s="11"/>
      <c r="T888" s="6"/>
      <c r="U888" s="24" t="str">
        <f>HYPERLINK("https://media.infra-m.ru/2217/2217146/cover/2217146.jpg", "Обложка")</f>
        <v>Обложка</v>
      </c>
      <c r="V888" s="24" t="str">
        <f>HYPERLINK("https://znanium.ru/catalog/product/2212244", "Ознакомиться")</f>
        <v>Ознакомиться</v>
      </c>
      <c r="W888" s="8" t="s">
        <v>1882</v>
      </c>
      <c r="X888" s="6"/>
      <c r="Y888" s="6"/>
      <c r="Z888" s="6"/>
      <c r="AA888" s="6" t="s">
        <v>159</v>
      </c>
      <c r="AB888" s="8"/>
    </row>
    <row r="889" spans="1:28" s="4" customFormat="1" ht="51.95" customHeight="1">
      <c r="A889" s="5">
        <v>0</v>
      </c>
      <c r="B889" s="6" t="s">
        <v>5363</v>
      </c>
      <c r="C889" s="7">
        <v>1828.8</v>
      </c>
      <c r="D889" s="8" t="s">
        <v>5364</v>
      </c>
      <c r="E889" s="8" t="s">
        <v>5365</v>
      </c>
      <c r="F889" s="8" t="s">
        <v>5366</v>
      </c>
      <c r="G889" s="6" t="s">
        <v>132</v>
      </c>
      <c r="H889" s="6" t="s">
        <v>1334</v>
      </c>
      <c r="I889" s="8" t="s">
        <v>40</v>
      </c>
      <c r="J889" s="9">
        <v>1</v>
      </c>
      <c r="K889" s="9">
        <v>336</v>
      </c>
      <c r="L889" s="9">
        <v>2023</v>
      </c>
      <c r="M889" s="8" t="s">
        <v>5367</v>
      </c>
      <c r="N889" s="8" t="s">
        <v>54</v>
      </c>
      <c r="O889" s="8" t="s">
        <v>55</v>
      </c>
      <c r="P889" s="6" t="s">
        <v>44</v>
      </c>
      <c r="Q889" s="8" t="s">
        <v>45</v>
      </c>
      <c r="R889" s="10" t="s">
        <v>5368</v>
      </c>
      <c r="S889" s="11"/>
      <c r="T889" s="6"/>
      <c r="U889" s="24" t="str">
        <f>HYPERLINK("https://media.infra-m.ru/2006/2006069/cover/2006069.jpg", "Обложка")</f>
        <v>Обложка</v>
      </c>
      <c r="V889" s="24" t="str">
        <f>HYPERLINK("https://znanium.ru/catalog/product/952393", "Ознакомиться")</f>
        <v>Ознакомиться</v>
      </c>
      <c r="W889" s="8" t="s">
        <v>207</v>
      </c>
      <c r="X889" s="6"/>
      <c r="Y889" s="6"/>
      <c r="Z889" s="6"/>
      <c r="AA889" s="6" t="s">
        <v>369</v>
      </c>
      <c r="AB889" s="8"/>
    </row>
    <row r="890" spans="1:28" s="4" customFormat="1" ht="51.95" customHeight="1">
      <c r="A890" s="5">
        <v>0</v>
      </c>
      <c r="B890" s="6" t="s">
        <v>5369</v>
      </c>
      <c r="C890" s="13">
        <v>581.9</v>
      </c>
      <c r="D890" s="8" t="s">
        <v>5370</v>
      </c>
      <c r="E890" s="8" t="s">
        <v>5371</v>
      </c>
      <c r="F890" s="8" t="s">
        <v>5372</v>
      </c>
      <c r="G890" s="6" t="s">
        <v>38</v>
      </c>
      <c r="H890" s="6" t="s">
        <v>39</v>
      </c>
      <c r="I890" s="8" t="s">
        <v>40</v>
      </c>
      <c r="J890" s="9">
        <v>1</v>
      </c>
      <c r="K890" s="9">
        <v>108</v>
      </c>
      <c r="L890" s="9">
        <v>2023</v>
      </c>
      <c r="M890" s="8" t="s">
        <v>5373</v>
      </c>
      <c r="N890" s="8" t="s">
        <v>54</v>
      </c>
      <c r="O890" s="8" t="s">
        <v>55</v>
      </c>
      <c r="P890" s="6" t="s">
        <v>44</v>
      </c>
      <c r="Q890" s="8" t="s">
        <v>45</v>
      </c>
      <c r="R890" s="10" t="s">
        <v>5374</v>
      </c>
      <c r="S890" s="11"/>
      <c r="T890" s="6"/>
      <c r="U890" s="24" t="str">
        <f>HYPERLINK("https://media.infra-m.ru/1907/1907367/cover/1907367.jpg", "Обложка")</f>
        <v>Обложка</v>
      </c>
      <c r="V890" s="24" t="str">
        <f>HYPERLINK("https://znanium.ru/catalog/product/1902914", "Ознакомиться")</f>
        <v>Ознакомиться</v>
      </c>
      <c r="W890" s="8" t="s">
        <v>75</v>
      </c>
      <c r="X890" s="6"/>
      <c r="Y890" s="6"/>
      <c r="Z890" s="6"/>
      <c r="AA890" s="6" t="s">
        <v>127</v>
      </c>
      <c r="AB890" s="8"/>
    </row>
    <row r="891" spans="1:28" s="4" customFormat="1" ht="51.95" customHeight="1">
      <c r="A891" s="5">
        <v>0</v>
      </c>
      <c r="B891" s="6" t="s">
        <v>5375</v>
      </c>
      <c r="C891" s="7">
        <v>2568</v>
      </c>
      <c r="D891" s="8" t="s">
        <v>5376</v>
      </c>
      <c r="E891" s="8" t="s">
        <v>5377</v>
      </c>
      <c r="F891" s="8" t="s">
        <v>5378</v>
      </c>
      <c r="G891" s="6" t="s">
        <v>132</v>
      </c>
      <c r="H891" s="6" t="s">
        <v>39</v>
      </c>
      <c r="I891" s="8"/>
      <c r="J891" s="9">
        <v>1</v>
      </c>
      <c r="K891" s="9">
        <v>495</v>
      </c>
      <c r="L891" s="9">
        <v>2024</v>
      </c>
      <c r="M891" s="8" t="s">
        <v>5379</v>
      </c>
      <c r="N891" s="8" t="s">
        <v>284</v>
      </c>
      <c r="O891" s="8" t="s">
        <v>482</v>
      </c>
      <c r="P891" s="6" t="s">
        <v>44</v>
      </c>
      <c r="Q891" s="8" t="s">
        <v>45</v>
      </c>
      <c r="R891" s="10" t="s">
        <v>5380</v>
      </c>
      <c r="S891" s="11"/>
      <c r="T891" s="6"/>
      <c r="U891" s="24" t="str">
        <f>HYPERLINK("https://media.infra-m.ru/1939/1939037/cover/1939037.jpg", "Обложка")</f>
        <v>Обложка</v>
      </c>
      <c r="V891" s="24" t="str">
        <f>HYPERLINK("https://znanium.ru/catalog/product/1939037", "Ознакомиться")</f>
        <v>Ознакомиться</v>
      </c>
      <c r="W891" s="8" t="s">
        <v>223</v>
      </c>
      <c r="X891" s="6"/>
      <c r="Y891" s="6"/>
      <c r="Z891" s="6"/>
      <c r="AA891" s="6" t="s">
        <v>119</v>
      </c>
      <c r="AB891" s="8"/>
    </row>
    <row r="892" spans="1:28" s="4" customFormat="1" ht="42" customHeight="1">
      <c r="A892" s="5">
        <v>0</v>
      </c>
      <c r="B892" s="6" t="s">
        <v>5381</v>
      </c>
      <c r="C892" s="13">
        <v>780</v>
      </c>
      <c r="D892" s="8" t="s">
        <v>5382</v>
      </c>
      <c r="E892" s="8" t="s">
        <v>5383</v>
      </c>
      <c r="F892" s="8" t="s">
        <v>5384</v>
      </c>
      <c r="G892" s="6" t="s">
        <v>38</v>
      </c>
      <c r="H892" s="6" t="s">
        <v>39</v>
      </c>
      <c r="I892" s="8" t="s">
        <v>2342</v>
      </c>
      <c r="J892" s="9">
        <v>1</v>
      </c>
      <c r="K892" s="9">
        <v>144</v>
      </c>
      <c r="L892" s="9">
        <v>2023</v>
      </c>
      <c r="M892" s="8" t="s">
        <v>5385</v>
      </c>
      <c r="N892" s="8" t="s">
        <v>284</v>
      </c>
      <c r="O892" s="8" t="s">
        <v>717</v>
      </c>
      <c r="P892" s="6" t="s">
        <v>44</v>
      </c>
      <c r="Q892" s="8" t="s">
        <v>45</v>
      </c>
      <c r="R892" s="10" t="s">
        <v>718</v>
      </c>
      <c r="S892" s="11"/>
      <c r="T892" s="6"/>
      <c r="U892" s="24" t="str">
        <f>HYPERLINK("https://media.infra-m.ru/1976/1976137/cover/1976137.jpg", "Обложка")</f>
        <v>Обложка</v>
      </c>
      <c r="V892" s="24" t="str">
        <f>HYPERLINK("https://znanium.ru/catalog/product/1976137", "Ознакомиться")</f>
        <v>Ознакомиться</v>
      </c>
      <c r="W892" s="8" t="s">
        <v>232</v>
      </c>
      <c r="X892" s="6"/>
      <c r="Y892" s="6"/>
      <c r="Z892" s="6"/>
      <c r="AA892" s="6" t="s">
        <v>76</v>
      </c>
      <c r="AB892" s="8"/>
    </row>
    <row r="893" spans="1:28" s="4" customFormat="1" ht="42" customHeight="1">
      <c r="A893" s="5">
        <v>0</v>
      </c>
      <c r="B893" s="6" t="s">
        <v>5386</v>
      </c>
      <c r="C893" s="7">
        <v>1468.8</v>
      </c>
      <c r="D893" s="8" t="s">
        <v>5387</v>
      </c>
      <c r="E893" s="8" t="s">
        <v>5388</v>
      </c>
      <c r="F893" s="8" t="s">
        <v>5389</v>
      </c>
      <c r="G893" s="6" t="s">
        <v>81</v>
      </c>
      <c r="H893" s="6" t="s">
        <v>39</v>
      </c>
      <c r="I893" s="8" t="s">
        <v>40</v>
      </c>
      <c r="J893" s="9">
        <v>1</v>
      </c>
      <c r="K893" s="9">
        <v>187</v>
      </c>
      <c r="L893" s="9">
        <v>2025</v>
      </c>
      <c r="M893" s="8" t="s">
        <v>5390</v>
      </c>
      <c r="N893" s="8" t="s">
        <v>284</v>
      </c>
      <c r="O893" s="8" t="s">
        <v>717</v>
      </c>
      <c r="P893" s="6" t="s">
        <v>44</v>
      </c>
      <c r="Q893" s="8" t="s">
        <v>45</v>
      </c>
      <c r="R893" s="10" t="s">
        <v>4488</v>
      </c>
      <c r="S893" s="11"/>
      <c r="T893" s="6"/>
      <c r="U893" s="24" t="str">
        <f>HYPERLINK("https://media.infra-m.ru/2170/2170649/cover/2170649.jpg", "Обложка")</f>
        <v>Обложка</v>
      </c>
      <c r="V893" s="24" t="str">
        <f>HYPERLINK("https://znanium.ru/catalog/product/1873828", "Ознакомиться")</f>
        <v>Ознакомиться</v>
      </c>
      <c r="W893" s="8" t="s">
        <v>971</v>
      </c>
      <c r="X893" s="6"/>
      <c r="Y893" s="6"/>
      <c r="Z893" s="6"/>
      <c r="AA893" s="6" t="s">
        <v>119</v>
      </c>
      <c r="AB893" s="8"/>
    </row>
    <row r="894" spans="1:28" s="4" customFormat="1" ht="42" customHeight="1">
      <c r="A894" s="5">
        <v>0</v>
      </c>
      <c r="B894" s="6" t="s">
        <v>5391</v>
      </c>
      <c r="C894" s="7">
        <v>1861.2</v>
      </c>
      <c r="D894" s="8" t="s">
        <v>5392</v>
      </c>
      <c r="E894" s="8" t="s">
        <v>5393</v>
      </c>
      <c r="F894" s="8" t="s">
        <v>5394</v>
      </c>
      <c r="G894" s="6" t="s">
        <v>132</v>
      </c>
      <c r="H894" s="6" t="s">
        <v>571</v>
      </c>
      <c r="I894" s="8"/>
      <c r="J894" s="14">
        <v>0</v>
      </c>
      <c r="K894" s="9">
        <v>304</v>
      </c>
      <c r="L894" s="9">
        <v>2022</v>
      </c>
      <c r="M894" s="8" t="s">
        <v>5395</v>
      </c>
      <c r="N894" s="8" t="s">
        <v>42</v>
      </c>
      <c r="O894" s="8" t="s">
        <v>65</v>
      </c>
      <c r="P894" s="6" t="s">
        <v>44</v>
      </c>
      <c r="Q894" s="8" t="s">
        <v>45</v>
      </c>
      <c r="R894" s="10"/>
      <c r="S894" s="11"/>
      <c r="T894" s="6"/>
      <c r="U894" s="24" t="str">
        <f>HYPERLINK("https://media.infra-m.ru/1973/1973505/cover/1973505.jpg", "Обложка")</f>
        <v>Обложка</v>
      </c>
      <c r="V894" s="12"/>
      <c r="W894" s="8" t="s">
        <v>191</v>
      </c>
      <c r="X894" s="6"/>
      <c r="Y894" s="6"/>
      <c r="Z894" s="6"/>
      <c r="AA894" s="6" t="s">
        <v>111</v>
      </c>
      <c r="AB894" s="8"/>
    </row>
    <row r="895" spans="1:28" s="4" customFormat="1" ht="51.95" customHeight="1">
      <c r="A895" s="5">
        <v>0</v>
      </c>
      <c r="B895" s="6" t="s">
        <v>5396</v>
      </c>
      <c r="C895" s="7">
        <v>1128</v>
      </c>
      <c r="D895" s="8" t="s">
        <v>5397</v>
      </c>
      <c r="E895" s="8" t="s">
        <v>5398</v>
      </c>
      <c r="F895" s="8" t="s">
        <v>5399</v>
      </c>
      <c r="G895" s="6" t="s">
        <v>38</v>
      </c>
      <c r="H895" s="6" t="s">
        <v>39</v>
      </c>
      <c r="I895" s="8" t="s">
        <v>40</v>
      </c>
      <c r="J895" s="9">
        <v>1</v>
      </c>
      <c r="K895" s="9">
        <v>169</v>
      </c>
      <c r="L895" s="9">
        <v>2025</v>
      </c>
      <c r="M895" s="8" t="s">
        <v>5400</v>
      </c>
      <c r="N895" s="8" t="s">
        <v>54</v>
      </c>
      <c r="O895" s="8" t="s">
        <v>55</v>
      </c>
      <c r="P895" s="6" t="s">
        <v>44</v>
      </c>
      <c r="Q895" s="8" t="s">
        <v>45</v>
      </c>
      <c r="R895" s="10" t="s">
        <v>5401</v>
      </c>
      <c r="S895" s="11"/>
      <c r="T895" s="6"/>
      <c r="U895" s="24" t="str">
        <f>HYPERLINK("https://media.infra-m.ru/2186/2186791/cover/2186791.jpg", "Обложка")</f>
        <v>Обложка</v>
      </c>
      <c r="V895" s="24" t="str">
        <f>HYPERLINK("https://znanium.ru/catalog/product/2186791", "Ознакомиться")</f>
        <v>Ознакомиться</v>
      </c>
      <c r="W895" s="8" t="s">
        <v>5402</v>
      </c>
      <c r="X895" s="6" t="s">
        <v>450</v>
      </c>
      <c r="Y895" s="6"/>
      <c r="Z895" s="6"/>
      <c r="AA895" s="6" t="s">
        <v>159</v>
      </c>
      <c r="AB895" s="8" t="s">
        <v>1101</v>
      </c>
    </row>
    <row r="896" spans="1:28" s="4" customFormat="1" ht="44.1" customHeight="1">
      <c r="A896" s="5">
        <v>0</v>
      </c>
      <c r="B896" s="6" t="s">
        <v>5403</v>
      </c>
      <c r="C896" s="7">
        <v>1428</v>
      </c>
      <c r="D896" s="8" t="s">
        <v>5404</v>
      </c>
      <c r="E896" s="8" t="s">
        <v>5405</v>
      </c>
      <c r="F896" s="8" t="s">
        <v>827</v>
      </c>
      <c r="G896" s="6" t="s">
        <v>81</v>
      </c>
      <c r="H896" s="6" t="s">
        <v>39</v>
      </c>
      <c r="I896" s="8" t="s">
        <v>828</v>
      </c>
      <c r="J896" s="9">
        <v>1</v>
      </c>
      <c r="K896" s="9">
        <v>257</v>
      </c>
      <c r="L896" s="9">
        <v>2023</v>
      </c>
      <c r="M896" s="8" t="s">
        <v>5406</v>
      </c>
      <c r="N896" s="8" t="s">
        <v>54</v>
      </c>
      <c r="O896" s="8" t="s">
        <v>55</v>
      </c>
      <c r="P896" s="6" t="s">
        <v>659</v>
      </c>
      <c r="Q896" s="8" t="s">
        <v>45</v>
      </c>
      <c r="R896" s="10" t="s">
        <v>5407</v>
      </c>
      <c r="S896" s="11"/>
      <c r="T896" s="6"/>
      <c r="U896" s="24" t="str">
        <f>HYPERLINK("https://media.infra-m.ru/1898/1898771/cover/1898771.jpg", "Обложка")</f>
        <v>Обложка</v>
      </c>
      <c r="V896" s="24" t="str">
        <f>HYPERLINK("https://znanium.ru/catalog/product/1898771", "Ознакомиться")</f>
        <v>Ознакомиться</v>
      </c>
      <c r="W896" s="8" t="s">
        <v>831</v>
      </c>
      <c r="X896" s="6"/>
      <c r="Y896" s="6"/>
      <c r="Z896" s="6"/>
      <c r="AA896" s="6" t="s">
        <v>68</v>
      </c>
      <c r="AB896" s="8"/>
    </row>
    <row r="897" spans="1:28" s="4" customFormat="1" ht="44.1" customHeight="1">
      <c r="A897" s="5">
        <v>0</v>
      </c>
      <c r="B897" s="6" t="s">
        <v>5408</v>
      </c>
      <c r="C897" s="7">
        <v>1120.8</v>
      </c>
      <c r="D897" s="8" t="s">
        <v>5409</v>
      </c>
      <c r="E897" s="8" t="s">
        <v>5410</v>
      </c>
      <c r="F897" s="8" t="s">
        <v>5411</v>
      </c>
      <c r="G897" s="6" t="s">
        <v>38</v>
      </c>
      <c r="H897" s="6" t="s">
        <v>39</v>
      </c>
      <c r="I897" s="8" t="s">
        <v>40</v>
      </c>
      <c r="J897" s="9">
        <v>1</v>
      </c>
      <c r="K897" s="9">
        <v>162</v>
      </c>
      <c r="L897" s="9">
        <v>2026</v>
      </c>
      <c r="M897" s="8" t="s">
        <v>5412</v>
      </c>
      <c r="N897" s="8" t="s">
        <v>54</v>
      </c>
      <c r="O897" s="8" t="s">
        <v>55</v>
      </c>
      <c r="P897" s="6" t="s">
        <v>44</v>
      </c>
      <c r="Q897" s="8" t="s">
        <v>45</v>
      </c>
      <c r="R897" s="10" t="s">
        <v>5413</v>
      </c>
      <c r="S897" s="11"/>
      <c r="T897" s="6"/>
      <c r="U897" s="24" t="str">
        <f>HYPERLINK("https://media.infra-m.ru/2213/2213184/cover/2213184.jpg", "Обложка")</f>
        <v>Обложка</v>
      </c>
      <c r="V897" s="24" t="str">
        <f>HYPERLINK("https://znanium.ru/catalog/product/2181457", "Ознакомиться")</f>
        <v>Ознакомиться</v>
      </c>
      <c r="W897" s="8" t="s">
        <v>2569</v>
      </c>
      <c r="X897" s="6"/>
      <c r="Y897" s="6"/>
      <c r="Z897" s="6"/>
      <c r="AA897" s="6" t="s">
        <v>58</v>
      </c>
      <c r="AB897" s="8"/>
    </row>
    <row r="898" spans="1:28" s="4" customFormat="1" ht="42" customHeight="1">
      <c r="A898" s="5">
        <v>0</v>
      </c>
      <c r="B898" s="6" t="s">
        <v>5414</v>
      </c>
      <c r="C898" s="13">
        <v>544.79999999999995</v>
      </c>
      <c r="D898" s="8" t="s">
        <v>5415</v>
      </c>
      <c r="E898" s="8" t="s">
        <v>5416</v>
      </c>
      <c r="F898" s="8" t="s">
        <v>5417</v>
      </c>
      <c r="G898" s="6" t="s">
        <v>38</v>
      </c>
      <c r="H898" s="6" t="s">
        <v>39</v>
      </c>
      <c r="I898" s="8" t="s">
        <v>40</v>
      </c>
      <c r="J898" s="9">
        <v>1</v>
      </c>
      <c r="K898" s="9">
        <v>88</v>
      </c>
      <c r="L898" s="9">
        <v>2023</v>
      </c>
      <c r="M898" s="8" t="s">
        <v>5418</v>
      </c>
      <c r="N898" s="8" t="s">
        <v>54</v>
      </c>
      <c r="O898" s="8" t="s">
        <v>55</v>
      </c>
      <c r="P898" s="6" t="s">
        <v>44</v>
      </c>
      <c r="Q898" s="8" t="s">
        <v>45</v>
      </c>
      <c r="R898" s="10" t="s">
        <v>5419</v>
      </c>
      <c r="S898" s="11"/>
      <c r="T898" s="6"/>
      <c r="U898" s="24" t="str">
        <f>HYPERLINK("https://media.infra-m.ru/2067/2067281/cover/2067281.jpg", "Обложка")</f>
        <v>Обложка</v>
      </c>
      <c r="V898" s="24" t="str">
        <f>HYPERLINK("https://znanium.ru/catalog/product/2061518", "Ознакомиться")</f>
        <v>Ознакомиться</v>
      </c>
      <c r="W898" s="8" t="s">
        <v>601</v>
      </c>
      <c r="X898" s="6"/>
      <c r="Y898" s="6"/>
      <c r="Z898" s="6"/>
      <c r="AA898" s="6" t="s">
        <v>76</v>
      </c>
      <c r="AB898" s="8"/>
    </row>
    <row r="899" spans="1:28" s="4" customFormat="1" ht="51.95" customHeight="1">
      <c r="A899" s="5">
        <v>0</v>
      </c>
      <c r="B899" s="6" t="s">
        <v>5420</v>
      </c>
      <c r="C899" s="7">
        <v>1372.8</v>
      </c>
      <c r="D899" s="8" t="s">
        <v>5421</v>
      </c>
      <c r="E899" s="8" t="s">
        <v>5422</v>
      </c>
      <c r="F899" s="8" t="s">
        <v>5423</v>
      </c>
      <c r="G899" s="6" t="s">
        <v>38</v>
      </c>
      <c r="H899" s="6" t="s">
        <v>39</v>
      </c>
      <c r="I899" s="8" t="s">
        <v>40</v>
      </c>
      <c r="J899" s="9">
        <v>1</v>
      </c>
      <c r="K899" s="9">
        <v>219</v>
      </c>
      <c r="L899" s="9">
        <v>2025</v>
      </c>
      <c r="M899" s="8" t="s">
        <v>5424</v>
      </c>
      <c r="N899" s="8" t="s">
        <v>54</v>
      </c>
      <c r="O899" s="8" t="s">
        <v>55</v>
      </c>
      <c r="P899" s="6" t="s">
        <v>44</v>
      </c>
      <c r="Q899" s="8" t="s">
        <v>45</v>
      </c>
      <c r="R899" s="10" t="s">
        <v>5425</v>
      </c>
      <c r="S899" s="11"/>
      <c r="T899" s="6"/>
      <c r="U899" s="24" t="str">
        <f>HYPERLINK("https://media.infra-m.ru/2198/2198918/cover/2198918.jpg", "Обложка")</f>
        <v>Обложка</v>
      </c>
      <c r="V899" s="24" t="str">
        <f>HYPERLINK("https://znanium.ru/catalog/product/1851434", "Ознакомиться")</f>
        <v>Ознакомиться</v>
      </c>
      <c r="W899" s="8" t="s">
        <v>1861</v>
      </c>
      <c r="X899" s="6"/>
      <c r="Y899" s="6"/>
      <c r="Z899" s="6"/>
      <c r="AA899" s="6" t="s">
        <v>48</v>
      </c>
      <c r="AB899" s="8"/>
    </row>
    <row r="900" spans="1:28" s="4" customFormat="1" ht="51.95" customHeight="1">
      <c r="A900" s="5">
        <v>0</v>
      </c>
      <c r="B900" s="6" t="s">
        <v>5426</v>
      </c>
      <c r="C900" s="7">
        <v>1356</v>
      </c>
      <c r="D900" s="8" t="s">
        <v>5427</v>
      </c>
      <c r="E900" s="8" t="s">
        <v>5428</v>
      </c>
      <c r="F900" s="8" t="s">
        <v>5429</v>
      </c>
      <c r="G900" s="6" t="s">
        <v>38</v>
      </c>
      <c r="H900" s="6" t="s">
        <v>39</v>
      </c>
      <c r="I900" s="8" t="s">
        <v>40</v>
      </c>
      <c r="J900" s="9">
        <v>1</v>
      </c>
      <c r="K900" s="9">
        <v>193</v>
      </c>
      <c r="L900" s="9">
        <v>2023</v>
      </c>
      <c r="M900" s="8" t="s">
        <v>5430</v>
      </c>
      <c r="N900" s="8" t="s">
        <v>284</v>
      </c>
      <c r="O900" s="8" t="s">
        <v>717</v>
      </c>
      <c r="P900" s="6" t="s">
        <v>44</v>
      </c>
      <c r="Q900" s="8" t="s">
        <v>45</v>
      </c>
      <c r="R900" s="10" t="s">
        <v>5431</v>
      </c>
      <c r="S900" s="11"/>
      <c r="T900" s="6"/>
      <c r="U900" s="24" t="str">
        <f>HYPERLINK("https://media.infra-m.ru/1959/1959243/cover/1959243.jpg", "Обложка")</f>
        <v>Обложка</v>
      </c>
      <c r="V900" s="24" t="str">
        <f>HYPERLINK("https://znanium.ru/catalog/product/1959243", "Ознакомиться")</f>
        <v>Ознакомиться</v>
      </c>
      <c r="W900" s="8" t="s">
        <v>641</v>
      </c>
      <c r="X900" s="6"/>
      <c r="Y900" s="6"/>
      <c r="Z900" s="6"/>
      <c r="AA900" s="6" t="s">
        <v>119</v>
      </c>
      <c r="AB900" s="8"/>
    </row>
    <row r="901" spans="1:28" s="4" customFormat="1" ht="42" customHeight="1">
      <c r="A901" s="5">
        <v>0</v>
      </c>
      <c r="B901" s="6" t="s">
        <v>5432</v>
      </c>
      <c r="C901" s="13">
        <v>760.8</v>
      </c>
      <c r="D901" s="8" t="s">
        <v>5433</v>
      </c>
      <c r="E901" s="8" t="s">
        <v>5434</v>
      </c>
      <c r="F901" s="8" t="s">
        <v>5435</v>
      </c>
      <c r="G901" s="6" t="s">
        <v>38</v>
      </c>
      <c r="H901" s="6" t="s">
        <v>39</v>
      </c>
      <c r="I901" s="8" t="s">
        <v>40</v>
      </c>
      <c r="J901" s="9">
        <v>1</v>
      </c>
      <c r="K901" s="9">
        <v>128</v>
      </c>
      <c r="L901" s="9">
        <v>2024</v>
      </c>
      <c r="M901" s="8" t="s">
        <v>5436</v>
      </c>
      <c r="N901" s="8" t="s">
        <v>54</v>
      </c>
      <c r="O901" s="8" t="s">
        <v>55</v>
      </c>
      <c r="P901" s="6" t="s">
        <v>44</v>
      </c>
      <c r="Q901" s="8" t="s">
        <v>45</v>
      </c>
      <c r="R901" s="10" t="s">
        <v>823</v>
      </c>
      <c r="S901" s="11"/>
      <c r="T901" s="6"/>
      <c r="U901" s="24" t="str">
        <f>HYPERLINK("https://media.infra-m.ru/2170/2170874/cover/2170874.jpg", "Обложка")</f>
        <v>Обложка</v>
      </c>
      <c r="V901" s="24" t="str">
        <f>HYPERLINK("https://znanium.ru/catalog/product/2143204", "Ознакомиться")</f>
        <v>Ознакомиться</v>
      </c>
      <c r="W901" s="8" t="s">
        <v>5437</v>
      </c>
      <c r="X901" s="6"/>
      <c r="Y901" s="6"/>
      <c r="Z901" s="6"/>
      <c r="AA901" s="6" t="s">
        <v>1154</v>
      </c>
      <c r="AB901" s="8"/>
    </row>
    <row r="902" spans="1:28" s="4" customFormat="1" ht="42" customHeight="1">
      <c r="A902" s="5">
        <v>0</v>
      </c>
      <c r="B902" s="6" t="s">
        <v>5438</v>
      </c>
      <c r="C902" s="7">
        <v>1008</v>
      </c>
      <c r="D902" s="8" t="s">
        <v>5439</v>
      </c>
      <c r="E902" s="8" t="s">
        <v>5440</v>
      </c>
      <c r="F902" s="8" t="s">
        <v>5441</v>
      </c>
      <c r="G902" s="6" t="s">
        <v>38</v>
      </c>
      <c r="H902" s="6" t="s">
        <v>39</v>
      </c>
      <c r="I902" s="8" t="s">
        <v>40</v>
      </c>
      <c r="J902" s="9">
        <v>1</v>
      </c>
      <c r="K902" s="9">
        <v>227</v>
      </c>
      <c r="L902" s="9">
        <v>2021</v>
      </c>
      <c r="M902" s="8" t="s">
        <v>5442</v>
      </c>
      <c r="N902" s="8" t="s">
        <v>220</v>
      </c>
      <c r="O902" s="8" t="s">
        <v>296</v>
      </c>
      <c r="P902" s="6" t="s">
        <v>44</v>
      </c>
      <c r="Q902" s="8" t="s">
        <v>45</v>
      </c>
      <c r="R902" s="10" t="s">
        <v>2169</v>
      </c>
      <c r="S902" s="11"/>
      <c r="T902" s="6"/>
      <c r="U902" s="24" t="str">
        <f>HYPERLINK("https://media.infra-m.ru/1220/1220790/cover/1220790.jpg", "Обложка")</f>
        <v>Обложка</v>
      </c>
      <c r="V902" s="24" t="str">
        <f>HYPERLINK("https://znanium.ru/catalog/product/1220790", "Ознакомиться")</f>
        <v>Ознакомиться</v>
      </c>
      <c r="W902" s="8" t="s">
        <v>5443</v>
      </c>
      <c r="X902" s="6"/>
      <c r="Y902" s="6"/>
      <c r="Z902" s="6"/>
      <c r="AA902" s="6" t="s">
        <v>339</v>
      </c>
      <c r="AB902" s="8"/>
    </row>
    <row r="903" spans="1:28" s="4" customFormat="1" ht="44.1" customHeight="1">
      <c r="A903" s="5">
        <v>0</v>
      </c>
      <c r="B903" s="6" t="s">
        <v>5444</v>
      </c>
      <c r="C903" s="7">
        <v>1252.8</v>
      </c>
      <c r="D903" s="8" t="s">
        <v>5445</v>
      </c>
      <c r="E903" s="8" t="s">
        <v>5446</v>
      </c>
      <c r="F903" s="8" t="s">
        <v>5447</v>
      </c>
      <c r="G903" s="6" t="s">
        <v>81</v>
      </c>
      <c r="H903" s="6" t="s">
        <v>182</v>
      </c>
      <c r="I903" s="8" t="s">
        <v>40</v>
      </c>
      <c r="J903" s="9">
        <v>1</v>
      </c>
      <c r="K903" s="9">
        <v>220</v>
      </c>
      <c r="L903" s="9">
        <v>2024</v>
      </c>
      <c r="M903" s="8" t="s">
        <v>5448</v>
      </c>
      <c r="N903" s="8" t="s">
        <v>54</v>
      </c>
      <c r="O903" s="8" t="s">
        <v>117</v>
      </c>
      <c r="P903" s="6" t="s">
        <v>44</v>
      </c>
      <c r="Q903" s="8" t="s">
        <v>45</v>
      </c>
      <c r="R903" s="10" t="s">
        <v>5449</v>
      </c>
      <c r="S903" s="11"/>
      <c r="T903" s="6"/>
      <c r="U903" s="24" t="str">
        <f>HYPERLINK("https://media.infra-m.ru/2150/2150021/cover/2150021.jpg", "Обложка")</f>
        <v>Обложка</v>
      </c>
      <c r="V903" s="12"/>
      <c r="W903" s="8" t="s">
        <v>516</v>
      </c>
      <c r="X903" s="6"/>
      <c r="Y903" s="6"/>
      <c r="Z903" s="6"/>
      <c r="AA903" s="6" t="s">
        <v>111</v>
      </c>
      <c r="AB903" s="8"/>
    </row>
    <row r="904" spans="1:28" s="4" customFormat="1" ht="42" customHeight="1">
      <c r="A904" s="5">
        <v>0</v>
      </c>
      <c r="B904" s="6" t="s">
        <v>5450</v>
      </c>
      <c r="C904" s="7">
        <v>1816.8</v>
      </c>
      <c r="D904" s="8" t="s">
        <v>5451</v>
      </c>
      <c r="E904" s="8" t="s">
        <v>5452</v>
      </c>
      <c r="F904" s="8" t="s">
        <v>770</v>
      </c>
      <c r="G904" s="6" t="s">
        <v>38</v>
      </c>
      <c r="H904" s="6" t="s">
        <v>39</v>
      </c>
      <c r="I904" s="8" t="s">
        <v>40</v>
      </c>
      <c r="J904" s="9">
        <v>1</v>
      </c>
      <c r="K904" s="9">
        <v>292</v>
      </c>
      <c r="L904" s="9">
        <v>2025</v>
      </c>
      <c r="M904" s="8" t="s">
        <v>5453</v>
      </c>
      <c r="N904" s="8" t="s">
        <v>54</v>
      </c>
      <c r="O904" s="8" t="s">
        <v>91</v>
      </c>
      <c r="P904" s="6" t="s">
        <v>44</v>
      </c>
      <c r="Q904" s="8" t="s">
        <v>45</v>
      </c>
      <c r="R904" s="10" t="s">
        <v>5454</v>
      </c>
      <c r="S904" s="11"/>
      <c r="T904" s="6"/>
      <c r="U904" s="24" t="str">
        <f>HYPERLINK("https://media.infra-m.ru/2197/2197815/cover/2197815.jpg", "Обложка")</f>
        <v>Обложка</v>
      </c>
      <c r="V904" s="24" t="str">
        <f>HYPERLINK("https://znanium.ru/catalog/product/1991906", "Ознакомиться")</f>
        <v>Ознакомиться</v>
      </c>
      <c r="W904" s="8" t="s">
        <v>773</v>
      </c>
      <c r="X904" s="6"/>
      <c r="Y904" s="6"/>
      <c r="Z904" s="6"/>
      <c r="AA904" s="6" t="s">
        <v>111</v>
      </c>
      <c r="AB904" s="8"/>
    </row>
    <row r="905" spans="1:28" s="4" customFormat="1" ht="44.1" customHeight="1">
      <c r="A905" s="5">
        <v>0</v>
      </c>
      <c r="B905" s="6" t="s">
        <v>5455</v>
      </c>
      <c r="C905" s="7">
        <v>2164.8000000000002</v>
      </c>
      <c r="D905" s="8" t="s">
        <v>5456</v>
      </c>
      <c r="E905" s="8" t="s">
        <v>5457</v>
      </c>
      <c r="F905" s="8" t="s">
        <v>1518</v>
      </c>
      <c r="G905" s="6" t="s">
        <v>132</v>
      </c>
      <c r="H905" s="6" t="s">
        <v>2052</v>
      </c>
      <c r="I905" s="8"/>
      <c r="J905" s="9">
        <v>1</v>
      </c>
      <c r="K905" s="9">
        <v>384</v>
      </c>
      <c r="L905" s="9">
        <v>2024</v>
      </c>
      <c r="M905" s="8" t="s">
        <v>5458</v>
      </c>
      <c r="N905" s="8" t="s">
        <v>42</v>
      </c>
      <c r="O905" s="8" t="s">
        <v>101</v>
      </c>
      <c r="P905" s="6" t="s">
        <v>44</v>
      </c>
      <c r="Q905" s="8" t="s">
        <v>45</v>
      </c>
      <c r="R905" s="10" t="s">
        <v>1587</v>
      </c>
      <c r="S905" s="11"/>
      <c r="T905" s="6"/>
      <c r="U905" s="24" t="str">
        <f>HYPERLINK("https://media.infra-m.ru/2136/2136624/cover/2136624.jpg", "Обложка")</f>
        <v>Обложка</v>
      </c>
      <c r="V905" s="24" t="str">
        <f>HYPERLINK("https://znanium.ru/catalog/product/2136624", "Ознакомиться")</f>
        <v>Ознакомиться</v>
      </c>
      <c r="W905" s="8" t="s">
        <v>1520</v>
      </c>
      <c r="X905" s="6"/>
      <c r="Y905" s="6"/>
      <c r="Z905" s="6"/>
      <c r="AA905" s="6" t="s">
        <v>566</v>
      </c>
      <c r="AB905" s="8"/>
    </row>
    <row r="906" spans="1:28" s="4" customFormat="1" ht="51.95" customHeight="1">
      <c r="A906" s="5">
        <v>0</v>
      </c>
      <c r="B906" s="6" t="s">
        <v>5459</v>
      </c>
      <c r="C906" s="7">
        <v>1792.8</v>
      </c>
      <c r="D906" s="8" t="s">
        <v>5460</v>
      </c>
      <c r="E906" s="8" t="s">
        <v>5461</v>
      </c>
      <c r="F906" s="8" t="s">
        <v>5462</v>
      </c>
      <c r="G906" s="6" t="s">
        <v>132</v>
      </c>
      <c r="H906" s="6" t="s">
        <v>99</v>
      </c>
      <c r="I906" s="8"/>
      <c r="J906" s="9">
        <v>1</v>
      </c>
      <c r="K906" s="9">
        <v>368</v>
      </c>
      <c r="L906" s="9">
        <v>2022</v>
      </c>
      <c r="M906" s="8" t="s">
        <v>5463</v>
      </c>
      <c r="N906" s="8" t="s">
        <v>42</v>
      </c>
      <c r="O906" s="8" t="s">
        <v>101</v>
      </c>
      <c r="P906" s="6" t="s">
        <v>44</v>
      </c>
      <c r="Q906" s="8" t="s">
        <v>45</v>
      </c>
      <c r="R906" s="10" t="s">
        <v>874</v>
      </c>
      <c r="S906" s="11"/>
      <c r="T906" s="6"/>
      <c r="U906" s="24" t="str">
        <f>HYPERLINK("https://media.infra-m.ru/1497/1497869/cover/1497869.jpg", "Обложка")</f>
        <v>Обложка</v>
      </c>
      <c r="V906" s="24" t="str">
        <f>HYPERLINK("https://znanium.ru/catalog/product/1497869", "Ознакомиться")</f>
        <v>Ознакомиться</v>
      </c>
      <c r="W906" s="8" t="s">
        <v>5464</v>
      </c>
      <c r="X906" s="6"/>
      <c r="Y906" s="6"/>
      <c r="Z906" s="6"/>
      <c r="AA906" s="6" t="s">
        <v>127</v>
      </c>
      <c r="AB906" s="8"/>
    </row>
    <row r="907" spans="1:28" s="4" customFormat="1" ht="42" customHeight="1">
      <c r="A907" s="5">
        <v>0</v>
      </c>
      <c r="B907" s="6" t="s">
        <v>5465</v>
      </c>
      <c r="C907" s="7">
        <v>2292</v>
      </c>
      <c r="D907" s="8" t="s">
        <v>5466</v>
      </c>
      <c r="E907" s="8" t="s">
        <v>5467</v>
      </c>
      <c r="F907" s="8" t="s">
        <v>5468</v>
      </c>
      <c r="G907" s="6" t="s">
        <v>38</v>
      </c>
      <c r="H907" s="6" t="s">
        <v>99</v>
      </c>
      <c r="I907" s="8"/>
      <c r="J907" s="9">
        <v>1</v>
      </c>
      <c r="K907" s="9">
        <v>368</v>
      </c>
      <c r="L907" s="9">
        <v>2025</v>
      </c>
      <c r="M907" s="8" t="s">
        <v>5469</v>
      </c>
      <c r="N907" s="8" t="s">
        <v>42</v>
      </c>
      <c r="O907" s="8" t="s">
        <v>101</v>
      </c>
      <c r="P907" s="6" t="s">
        <v>44</v>
      </c>
      <c r="Q907" s="8" t="s">
        <v>45</v>
      </c>
      <c r="R907" s="10" t="s">
        <v>5470</v>
      </c>
      <c r="S907" s="11"/>
      <c r="T907" s="6"/>
      <c r="U907" s="24" t="str">
        <f>HYPERLINK("https://media.infra-m.ru/2210/2210242/cover/2210242.jpg", "Обложка")</f>
        <v>Обложка</v>
      </c>
      <c r="V907" s="24" t="str">
        <f>HYPERLINK("https://znanium.ru/catalog/product/2210242", "Ознакомиться")</f>
        <v>Ознакомиться</v>
      </c>
      <c r="W907" s="8" t="s">
        <v>5471</v>
      </c>
      <c r="X907" s="6"/>
      <c r="Y907" s="6"/>
      <c r="Z907" s="6"/>
      <c r="AA907" s="6" t="s">
        <v>1154</v>
      </c>
      <c r="AB907" s="8"/>
    </row>
    <row r="908" spans="1:28" s="4" customFormat="1" ht="51.95" customHeight="1">
      <c r="A908" s="5">
        <v>0</v>
      </c>
      <c r="B908" s="6" t="s">
        <v>5472</v>
      </c>
      <c r="C908" s="7">
        <v>1992</v>
      </c>
      <c r="D908" s="8" t="s">
        <v>5473</v>
      </c>
      <c r="E908" s="8" t="s">
        <v>5474</v>
      </c>
      <c r="F908" s="8" t="s">
        <v>5475</v>
      </c>
      <c r="G908" s="6" t="s">
        <v>38</v>
      </c>
      <c r="H908" s="6" t="s">
        <v>39</v>
      </c>
      <c r="I908" s="8" t="s">
        <v>40</v>
      </c>
      <c r="J908" s="9">
        <v>1</v>
      </c>
      <c r="K908" s="9">
        <v>319</v>
      </c>
      <c r="L908" s="9">
        <v>2026</v>
      </c>
      <c r="M908" s="8" t="s">
        <v>5476</v>
      </c>
      <c r="N908" s="8" t="s">
        <v>220</v>
      </c>
      <c r="O908" s="8" t="s">
        <v>474</v>
      </c>
      <c r="P908" s="6" t="s">
        <v>44</v>
      </c>
      <c r="Q908" s="8" t="s">
        <v>45</v>
      </c>
      <c r="R908" s="10" t="s">
        <v>5477</v>
      </c>
      <c r="S908" s="11"/>
      <c r="T908" s="6"/>
      <c r="U908" s="24" t="str">
        <f>HYPERLINK("https://media.infra-m.ru/2213/2213666/cover/2213666.jpg", "Обложка")</f>
        <v>Обложка</v>
      </c>
      <c r="V908" s="24" t="str">
        <f>HYPERLINK("https://znanium.ru/catalog/product/2213666", "Ознакомиться")</f>
        <v>Ознакомиться</v>
      </c>
      <c r="W908" s="8"/>
      <c r="X908" s="6"/>
      <c r="Y908" s="6"/>
      <c r="Z908" s="6"/>
      <c r="AA908" s="6" t="s">
        <v>369</v>
      </c>
      <c r="AB908" s="8"/>
    </row>
    <row r="909" spans="1:28" s="4" customFormat="1" ht="42" customHeight="1">
      <c r="A909" s="5">
        <v>0</v>
      </c>
      <c r="B909" s="6" t="s">
        <v>5478</v>
      </c>
      <c r="C909" s="7">
        <v>1996.8</v>
      </c>
      <c r="D909" s="8" t="s">
        <v>5479</v>
      </c>
      <c r="E909" s="8" t="s">
        <v>5480</v>
      </c>
      <c r="F909" s="8" t="s">
        <v>5481</v>
      </c>
      <c r="G909" s="6" t="s">
        <v>132</v>
      </c>
      <c r="H909" s="6" t="s">
        <v>99</v>
      </c>
      <c r="I909" s="8"/>
      <c r="J909" s="9">
        <v>1</v>
      </c>
      <c r="K909" s="9">
        <v>320</v>
      </c>
      <c r="L909" s="9">
        <v>2026</v>
      </c>
      <c r="M909" s="8" t="s">
        <v>5482</v>
      </c>
      <c r="N909" s="8" t="s">
        <v>42</v>
      </c>
      <c r="O909" s="8" t="s">
        <v>101</v>
      </c>
      <c r="P909" s="6" t="s">
        <v>44</v>
      </c>
      <c r="Q909" s="8" t="s">
        <v>45</v>
      </c>
      <c r="R909" s="10" t="s">
        <v>874</v>
      </c>
      <c r="S909" s="11"/>
      <c r="T909" s="6"/>
      <c r="U909" s="24" t="str">
        <f>HYPERLINK("https://media.infra-m.ru/2216/2216872/cover/2216872.jpg", "Обложка")</f>
        <v>Обложка</v>
      </c>
      <c r="V909" s="24" t="str">
        <f>HYPERLINK("https://znanium.ru/catalog/product/2163900", "Ознакомиться")</f>
        <v>Ознакомиться</v>
      </c>
      <c r="W909" s="8" t="s">
        <v>2281</v>
      </c>
      <c r="X909" s="6"/>
      <c r="Y909" s="6"/>
      <c r="Z909" s="6"/>
      <c r="AA909" s="6" t="s">
        <v>48</v>
      </c>
      <c r="AB909" s="8"/>
    </row>
    <row r="910" spans="1:28" s="4" customFormat="1" ht="42" customHeight="1">
      <c r="A910" s="5">
        <v>0</v>
      </c>
      <c r="B910" s="6" t="s">
        <v>5483</v>
      </c>
      <c r="C910" s="13">
        <v>928.8</v>
      </c>
      <c r="D910" s="8" t="s">
        <v>5484</v>
      </c>
      <c r="E910" s="8" t="s">
        <v>5485</v>
      </c>
      <c r="F910" s="8" t="s">
        <v>5486</v>
      </c>
      <c r="G910" s="6" t="s">
        <v>38</v>
      </c>
      <c r="H910" s="6" t="s">
        <v>39</v>
      </c>
      <c r="I910" s="8" t="s">
        <v>40</v>
      </c>
      <c r="J910" s="9">
        <v>1</v>
      </c>
      <c r="K910" s="9">
        <v>169</v>
      </c>
      <c r="L910" s="9">
        <v>2024</v>
      </c>
      <c r="M910" s="8" t="s">
        <v>5487</v>
      </c>
      <c r="N910" s="8" t="s">
        <v>42</v>
      </c>
      <c r="O910" s="8" t="s">
        <v>246</v>
      </c>
      <c r="P910" s="6" t="s">
        <v>44</v>
      </c>
      <c r="Q910" s="8" t="s">
        <v>45</v>
      </c>
      <c r="R910" s="10" t="s">
        <v>1419</v>
      </c>
      <c r="S910" s="11"/>
      <c r="T910" s="6"/>
      <c r="U910" s="24" t="str">
        <f>HYPERLINK("https://media.infra-m.ru/2079/2079632/cover/2079632.jpg", "Обложка")</f>
        <v>Обложка</v>
      </c>
      <c r="V910" s="24" t="str">
        <f>HYPERLINK("https://znanium.ru/catalog/product/2079632", "Ознакомиться")</f>
        <v>Ознакомиться</v>
      </c>
      <c r="W910" s="8" t="s">
        <v>3715</v>
      </c>
      <c r="X910" s="6"/>
      <c r="Y910" s="6"/>
      <c r="Z910" s="6"/>
      <c r="AA910" s="6" t="s">
        <v>199</v>
      </c>
      <c r="AB910" s="8"/>
    </row>
    <row r="911" spans="1:28" s="4" customFormat="1" ht="51.95" customHeight="1">
      <c r="A911" s="5">
        <v>0</v>
      </c>
      <c r="B911" s="6" t="s">
        <v>5488</v>
      </c>
      <c r="C911" s="7">
        <v>3408</v>
      </c>
      <c r="D911" s="8" t="s">
        <v>5489</v>
      </c>
      <c r="E911" s="8" t="s">
        <v>5490</v>
      </c>
      <c r="F911" s="8" t="s">
        <v>5491</v>
      </c>
      <c r="G911" s="6" t="s">
        <v>132</v>
      </c>
      <c r="H911" s="6" t="s">
        <v>39</v>
      </c>
      <c r="I911" s="8" t="s">
        <v>40</v>
      </c>
      <c r="J911" s="9">
        <v>1</v>
      </c>
      <c r="K911" s="9">
        <v>546</v>
      </c>
      <c r="L911" s="9">
        <v>2026</v>
      </c>
      <c r="M911" s="8" t="s">
        <v>5492</v>
      </c>
      <c r="N911" s="8" t="s">
        <v>42</v>
      </c>
      <c r="O911" s="8" t="s">
        <v>246</v>
      </c>
      <c r="P911" s="6" t="s">
        <v>44</v>
      </c>
      <c r="Q911" s="8" t="s">
        <v>45</v>
      </c>
      <c r="R911" s="10" t="s">
        <v>5493</v>
      </c>
      <c r="S911" s="11"/>
      <c r="T911" s="6"/>
      <c r="U911" s="24" t="str">
        <f>HYPERLINK("https://media.infra-m.ru/2213/2213705/cover/2213705.jpg", "Обложка")</f>
        <v>Обложка</v>
      </c>
      <c r="V911" s="24" t="str">
        <f>HYPERLINK("https://znanium.ru/catalog/product/2213705", "Ознакомиться")</f>
        <v>Ознакомиться</v>
      </c>
      <c r="W911" s="8" t="s">
        <v>3715</v>
      </c>
      <c r="X911" s="6"/>
      <c r="Y911" s="6"/>
      <c r="Z911" s="6"/>
      <c r="AA911" s="6" t="s">
        <v>119</v>
      </c>
      <c r="AB911" s="8"/>
    </row>
    <row r="912" spans="1:28" s="4" customFormat="1" ht="51.95" customHeight="1">
      <c r="A912" s="5">
        <v>0</v>
      </c>
      <c r="B912" s="6" t="s">
        <v>5494</v>
      </c>
      <c r="C912" s="13">
        <v>768</v>
      </c>
      <c r="D912" s="8" t="s">
        <v>5495</v>
      </c>
      <c r="E912" s="8" t="s">
        <v>5496</v>
      </c>
      <c r="F912" s="8" t="s">
        <v>5497</v>
      </c>
      <c r="G912" s="6" t="s">
        <v>38</v>
      </c>
      <c r="H912" s="6" t="s">
        <v>39</v>
      </c>
      <c r="I912" s="8" t="s">
        <v>40</v>
      </c>
      <c r="J912" s="9">
        <v>1</v>
      </c>
      <c r="K912" s="9">
        <v>172</v>
      </c>
      <c r="L912" s="9">
        <v>2021</v>
      </c>
      <c r="M912" s="8" t="s">
        <v>5498</v>
      </c>
      <c r="N912" s="8" t="s">
        <v>42</v>
      </c>
      <c r="O912" s="8" t="s">
        <v>246</v>
      </c>
      <c r="P912" s="6" t="s">
        <v>44</v>
      </c>
      <c r="Q912" s="8" t="s">
        <v>45</v>
      </c>
      <c r="R912" s="10" t="s">
        <v>5499</v>
      </c>
      <c r="S912" s="11"/>
      <c r="T912" s="6"/>
      <c r="U912" s="24" t="str">
        <f>HYPERLINK("https://media.infra-m.ru/1223/1223199/cover/1223199.jpg", "Обложка")</f>
        <v>Обложка</v>
      </c>
      <c r="V912" s="24" t="str">
        <f>HYPERLINK("https://znanium.ru/catalog/product/1223199", "Ознакомиться")</f>
        <v>Ознакомиться</v>
      </c>
      <c r="W912" s="8" t="s">
        <v>223</v>
      </c>
      <c r="X912" s="6"/>
      <c r="Y912" s="6"/>
      <c r="Z912" s="6"/>
      <c r="AA912" s="6" t="s">
        <v>94</v>
      </c>
      <c r="AB912" s="8"/>
    </row>
    <row r="913" spans="1:28" s="4" customFormat="1" ht="42" customHeight="1">
      <c r="A913" s="5">
        <v>0</v>
      </c>
      <c r="B913" s="6" t="s">
        <v>5500</v>
      </c>
      <c r="C913" s="7">
        <v>2476.8000000000002</v>
      </c>
      <c r="D913" s="8" t="s">
        <v>5501</v>
      </c>
      <c r="E913" s="8" t="s">
        <v>5502</v>
      </c>
      <c r="F913" s="8" t="s">
        <v>5503</v>
      </c>
      <c r="G913" s="6" t="s">
        <v>132</v>
      </c>
      <c r="H913" s="6" t="s">
        <v>99</v>
      </c>
      <c r="I913" s="8"/>
      <c r="J913" s="9">
        <v>1</v>
      </c>
      <c r="K913" s="9">
        <v>376</v>
      </c>
      <c r="L913" s="9">
        <v>2026</v>
      </c>
      <c r="M913" s="8" t="s">
        <v>5504</v>
      </c>
      <c r="N913" s="8" t="s">
        <v>42</v>
      </c>
      <c r="O913" s="8" t="s">
        <v>101</v>
      </c>
      <c r="P913" s="6" t="s">
        <v>44</v>
      </c>
      <c r="Q913" s="8" t="s">
        <v>45</v>
      </c>
      <c r="R913" s="10" t="s">
        <v>269</v>
      </c>
      <c r="S913" s="11"/>
      <c r="T913" s="6"/>
      <c r="U913" s="24" t="str">
        <f>HYPERLINK("https://media.infra-m.ru/2216/2216874/cover/2216874.jpg", "Обложка")</f>
        <v>Обложка</v>
      </c>
      <c r="V913" s="24" t="str">
        <f>HYPERLINK("https://znanium.ru/catalog/product/2134199", "Ознакомиться")</f>
        <v>Ознакомиться</v>
      </c>
      <c r="W913" s="8" t="s">
        <v>1349</v>
      </c>
      <c r="X913" s="6"/>
      <c r="Y913" s="6"/>
      <c r="Z913" s="6"/>
      <c r="AA913" s="6" t="s">
        <v>2773</v>
      </c>
      <c r="AB913" s="8"/>
    </row>
    <row r="914" spans="1:28" s="4" customFormat="1" ht="42" customHeight="1">
      <c r="A914" s="5">
        <v>0</v>
      </c>
      <c r="B914" s="6" t="s">
        <v>5505</v>
      </c>
      <c r="C914" s="7">
        <v>2508</v>
      </c>
      <c r="D914" s="8" t="s">
        <v>5506</v>
      </c>
      <c r="E914" s="8" t="s">
        <v>5507</v>
      </c>
      <c r="F914" s="8" t="s">
        <v>5508</v>
      </c>
      <c r="G914" s="6" t="s">
        <v>132</v>
      </c>
      <c r="H914" s="6" t="s">
        <v>39</v>
      </c>
      <c r="I914" s="8" t="s">
        <v>40</v>
      </c>
      <c r="J914" s="9">
        <v>1</v>
      </c>
      <c r="K914" s="9">
        <v>382</v>
      </c>
      <c r="L914" s="9">
        <v>2025</v>
      </c>
      <c r="M914" s="8" t="s">
        <v>5509</v>
      </c>
      <c r="N914" s="8" t="s">
        <v>284</v>
      </c>
      <c r="O914" s="8" t="s">
        <v>1549</v>
      </c>
      <c r="P914" s="6" t="s">
        <v>44</v>
      </c>
      <c r="Q914" s="8" t="s">
        <v>45</v>
      </c>
      <c r="R914" s="10" t="s">
        <v>5510</v>
      </c>
      <c r="S914" s="11"/>
      <c r="T914" s="6"/>
      <c r="U914" s="24" t="str">
        <f>HYPERLINK("https://media.infra-m.ru/2193/2193752/cover/2193752.jpg", "Обложка")</f>
        <v>Обложка</v>
      </c>
      <c r="V914" s="24" t="str">
        <f>HYPERLINK("https://znanium.ru/catalog/product/2193752", "Ознакомиться")</f>
        <v>Ознакомиться</v>
      </c>
      <c r="W914" s="8" t="s">
        <v>3004</v>
      </c>
      <c r="X914" s="6" t="s">
        <v>832</v>
      </c>
      <c r="Y914" s="6"/>
      <c r="Z914" s="6"/>
      <c r="AA914" s="6" t="s">
        <v>159</v>
      </c>
      <c r="AB914" s="8"/>
    </row>
    <row r="915" spans="1:28" s="4" customFormat="1" ht="51.95" customHeight="1">
      <c r="A915" s="5">
        <v>0</v>
      </c>
      <c r="B915" s="6" t="s">
        <v>5511</v>
      </c>
      <c r="C915" s="7">
        <v>1320</v>
      </c>
      <c r="D915" s="8" t="s">
        <v>5512</v>
      </c>
      <c r="E915" s="8" t="s">
        <v>5513</v>
      </c>
      <c r="F915" s="8" t="s">
        <v>5514</v>
      </c>
      <c r="G915" s="6" t="s">
        <v>38</v>
      </c>
      <c r="H915" s="6" t="s">
        <v>39</v>
      </c>
      <c r="I915" s="8" t="s">
        <v>40</v>
      </c>
      <c r="J915" s="9">
        <v>1</v>
      </c>
      <c r="K915" s="9">
        <v>237</v>
      </c>
      <c r="L915" s="9">
        <v>2024</v>
      </c>
      <c r="M915" s="8" t="s">
        <v>5515</v>
      </c>
      <c r="N915" s="8" t="s">
        <v>54</v>
      </c>
      <c r="O915" s="8" t="s">
        <v>55</v>
      </c>
      <c r="P915" s="6" t="s">
        <v>44</v>
      </c>
      <c r="Q915" s="8" t="s">
        <v>45</v>
      </c>
      <c r="R915" s="10" t="s">
        <v>5516</v>
      </c>
      <c r="S915" s="11"/>
      <c r="T915" s="6"/>
      <c r="U915" s="24" t="str">
        <f>HYPERLINK("https://media.infra-m.ru/2084/2084492/cover/2084492.jpg", "Обложка")</f>
        <v>Обложка</v>
      </c>
      <c r="V915" s="24" t="str">
        <f>HYPERLINK("https://znanium.ru/catalog/product/2084492", "Ознакомиться")</f>
        <v>Ознакомиться</v>
      </c>
      <c r="W915" s="8" t="s">
        <v>5517</v>
      </c>
      <c r="X915" s="6"/>
      <c r="Y915" s="6"/>
      <c r="Z915" s="6"/>
      <c r="AA915" s="6" t="s">
        <v>127</v>
      </c>
      <c r="AB915" s="8"/>
    </row>
    <row r="916" spans="1:28" s="4" customFormat="1" ht="42" customHeight="1">
      <c r="A916" s="5">
        <v>0</v>
      </c>
      <c r="B916" s="6" t="s">
        <v>5518</v>
      </c>
      <c r="C916" s="7">
        <v>1080</v>
      </c>
      <c r="D916" s="8" t="s">
        <v>5519</v>
      </c>
      <c r="E916" s="8" t="s">
        <v>5520</v>
      </c>
      <c r="F916" s="8" t="s">
        <v>5521</v>
      </c>
      <c r="G916" s="6" t="s">
        <v>132</v>
      </c>
      <c r="H916" s="6" t="s">
        <v>39</v>
      </c>
      <c r="I916" s="8" t="s">
        <v>40</v>
      </c>
      <c r="J916" s="9">
        <v>1</v>
      </c>
      <c r="K916" s="9">
        <v>233</v>
      </c>
      <c r="L916" s="9">
        <v>2021</v>
      </c>
      <c r="M916" s="8" t="s">
        <v>5522</v>
      </c>
      <c r="N916" s="8" t="s">
        <v>229</v>
      </c>
      <c r="O916" s="8" t="s">
        <v>230</v>
      </c>
      <c r="P916" s="6" t="s">
        <v>44</v>
      </c>
      <c r="Q916" s="8" t="s">
        <v>45</v>
      </c>
      <c r="R916" s="10" t="s">
        <v>5523</v>
      </c>
      <c r="S916" s="11"/>
      <c r="T916" s="6"/>
      <c r="U916" s="24" t="str">
        <f>HYPERLINK("https://media.infra-m.ru/1137/1137904/cover/1137904.jpg", "Обложка")</f>
        <v>Обложка</v>
      </c>
      <c r="V916" s="24" t="str">
        <f>HYPERLINK("https://znanium.ru/catalog/product/1208738", "Ознакомиться")</f>
        <v>Ознакомиться</v>
      </c>
      <c r="W916" s="8" t="s">
        <v>346</v>
      </c>
      <c r="X916" s="6"/>
      <c r="Y916" s="6"/>
      <c r="Z916" s="6"/>
      <c r="AA916" s="6" t="s">
        <v>168</v>
      </c>
      <c r="AB916" s="8"/>
    </row>
    <row r="917" spans="1:28" s="4" customFormat="1" ht="42" customHeight="1">
      <c r="A917" s="5">
        <v>0</v>
      </c>
      <c r="B917" s="6" t="s">
        <v>5524</v>
      </c>
      <c r="C917" s="7">
        <v>1728</v>
      </c>
      <c r="D917" s="8" t="s">
        <v>5525</v>
      </c>
      <c r="E917" s="8" t="s">
        <v>5526</v>
      </c>
      <c r="F917" s="8" t="s">
        <v>3895</v>
      </c>
      <c r="G917" s="6" t="s">
        <v>81</v>
      </c>
      <c r="H917" s="6" t="s">
        <v>39</v>
      </c>
      <c r="I917" s="8" t="s">
        <v>40</v>
      </c>
      <c r="J917" s="9">
        <v>1</v>
      </c>
      <c r="K917" s="9">
        <v>313</v>
      </c>
      <c r="L917" s="9">
        <v>2024</v>
      </c>
      <c r="M917" s="8" t="s">
        <v>5527</v>
      </c>
      <c r="N917" s="8" t="s">
        <v>220</v>
      </c>
      <c r="O917" s="8" t="s">
        <v>252</v>
      </c>
      <c r="P917" s="6" t="s">
        <v>44</v>
      </c>
      <c r="Q917" s="8" t="s">
        <v>45</v>
      </c>
      <c r="R917" s="10" t="s">
        <v>5528</v>
      </c>
      <c r="S917" s="11"/>
      <c r="T917" s="6"/>
      <c r="U917" s="24" t="str">
        <f>HYPERLINK("https://media.infra-m.ru/2069/2069296/cover/2069296.jpg", "Обложка")</f>
        <v>Обложка</v>
      </c>
      <c r="V917" s="24" t="str">
        <f>HYPERLINK("https://znanium.ru/catalog/product/2069296", "Ознакомиться")</f>
        <v>Ознакомиться</v>
      </c>
      <c r="W917" s="8" t="s">
        <v>2872</v>
      </c>
      <c r="X917" s="6"/>
      <c r="Y917" s="6"/>
      <c r="Z917" s="6"/>
      <c r="AA917" s="6" t="s">
        <v>377</v>
      </c>
      <c r="AB917" s="8"/>
    </row>
    <row r="918" spans="1:28" s="4" customFormat="1" ht="51.95" customHeight="1">
      <c r="A918" s="5">
        <v>0</v>
      </c>
      <c r="B918" s="6" t="s">
        <v>5529</v>
      </c>
      <c r="C918" s="7">
        <v>2620.8000000000002</v>
      </c>
      <c r="D918" s="8" t="s">
        <v>5530</v>
      </c>
      <c r="E918" s="8" t="s">
        <v>5531</v>
      </c>
      <c r="F918" s="8" t="s">
        <v>5532</v>
      </c>
      <c r="G918" s="6" t="s">
        <v>81</v>
      </c>
      <c r="H918" s="6" t="s">
        <v>571</v>
      </c>
      <c r="I918" s="8" t="s">
        <v>5533</v>
      </c>
      <c r="J918" s="9">
        <v>1</v>
      </c>
      <c r="K918" s="9">
        <v>336</v>
      </c>
      <c r="L918" s="9">
        <v>2024</v>
      </c>
      <c r="M918" s="8" t="s">
        <v>5534</v>
      </c>
      <c r="N918" s="8" t="s">
        <v>42</v>
      </c>
      <c r="O918" s="8" t="s">
        <v>189</v>
      </c>
      <c r="P918" s="6" t="s">
        <v>415</v>
      </c>
      <c r="Q918" s="8" t="s">
        <v>416</v>
      </c>
      <c r="R918" s="10" t="s">
        <v>5535</v>
      </c>
      <c r="S918" s="11"/>
      <c r="T918" s="6"/>
      <c r="U918" s="24" t="str">
        <f>HYPERLINK("https://media.infra-m.ru/2113/2113869/cover/2113869.jpg", "Обложка")</f>
        <v>Обложка</v>
      </c>
      <c r="V918" s="24" t="str">
        <f>HYPERLINK("https://znanium.ru/catalog/product/2113869", "Ознакомиться")</f>
        <v>Ознакомиться</v>
      </c>
      <c r="W918" s="8" t="s">
        <v>516</v>
      </c>
      <c r="X918" s="6"/>
      <c r="Y918" s="6"/>
      <c r="Z918" s="6"/>
      <c r="AA918" s="6" t="s">
        <v>48</v>
      </c>
      <c r="AB918" s="8"/>
    </row>
    <row r="919" spans="1:28" s="4" customFormat="1" ht="42" customHeight="1">
      <c r="A919" s="5">
        <v>0</v>
      </c>
      <c r="B919" s="6" t="s">
        <v>5536</v>
      </c>
      <c r="C919" s="7">
        <v>1072.8</v>
      </c>
      <c r="D919" s="8" t="s">
        <v>5537</v>
      </c>
      <c r="E919" s="8" t="s">
        <v>5538</v>
      </c>
      <c r="F919" s="8" t="s">
        <v>5539</v>
      </c>
      <c r="G919" s="6" t="s">
        <v>38</v>
      </c>
      <c r="H919" s="6" t="s">
        <v>39</v>
      </c>
      <c r="I919" s="8" t="s">
        <v>40</v>
      </c>
      <c r="J919" s="9">
        <v>1</v>
      </c>
      <c r="K919" s="9">
        <v>179</v>
      </c>
      <c r="L919" s="9">
        <v>2025</v>
      </c>
      <c r="M919" s="8" t="s">
        <v>5540</v>
      </c>
      <c r="N919" s="8" t="s">
        <v>42</v>
      </c>
      <c r="O919" s="8" t="s">
        <v>65</v>
      </c>
      <c r="P919" s="6" t="s">
        <v>44</v>
      </c>
      <c r="Q919" s="8" t="s">
        <v>45</v>
      </c>
      <c r="R919" s="10" t="s">
        <v>1873</v>
      </c>
      <c r="S919" s="11"/>
      <c r="T919" s="6"/>
      <c r="U919" s="24" t="str">
        <f>HYPERLINK("https://media.infra-m.ru/2160/2160656/cover/2160656.jpg", "Обложка")</f>
        <v>Обложка</v>
      </c>
      <c r="V919" s="24" t="str">
        <f>HYPERLINK("https://znanium.ru/catalog/product/2159761", "Ознакомиться")</f>
        <v>Ознакомиться</v>
      </c>
      <c r="W919" s="8" t="s">
        <v>305</v>
      </c>
      <c r="X919" s="6"/>
      <c r="Y919" s="6"/>
      <c r="Z919" s="6"/>
      <c r="AA919" s="6" t="s">
        <v>168</v>
      </c>
      <c r="AB919" s="8"/>
    </row>
    <row r="920" spans="1:28" s="4" customFormat="1" ht="44.1" customHeight="1">
      <c r="A920" s="5">
        <v>0</v>
      </c>
      <c r="B920" s="6" t="s">
        <v>5541</v>
      </c>
      <c r="C920" s="7">
        <v>1548</v>
      </c>
      <c r="D920" s="8" t="s">
        <v>5542</v>
      </c>
      <c r="E920" s="8" t="s">
        <v>5543</v>
      </c>
      <c r="F920" s="8" t="s">
        <v>5544</v>
      </c>
      <c r="G920" s="6" t="s">
        <v>38</v>
      </c>
      <c r="H920" s="6" t="s">
        <v>39</v>
      </c>
      <c r="I920" s="8" t="s">
        <v>40</v>
      </c>
      <c r="J920" s="9">
        <v>1</v>
      </c>
      <c r="K920" s="9">
        <v>276</v>
      </c>
      <c r="L920" s="9">
        <v>2022</v>
      </c>
      <c r="M920" s="8" t="s">
        <v>5545</v>
      </c>
      <c r="N920" s="8" t="s">
        <v>284</v>
      </c>
      <c r="O920" s="8" t="s">
        <v>717</v>
      </c>
      <c r="P920" s="6" t="s">
        <v>44</v>
      </c>
      <c r="Q920" s="8" t="s">
        <v>45</v>
      </c>
      <c r="R920" s="10" t="s">
        <v>5546</v>
      </c>
      <c r="S920" s="11"/>
      <c r="T920" s="6"/>
      <c r="U920" s="24" t="str">
        <f>HYPERLINK("https://media.infra-m.ru/1863/1863100/cover/1863100.jpg", "Обложка")</f>
        <v>Обложка</v>
      </c>
      <c r="V920" s="24" t="str">
        <f>HYPERLINK("https://znanium.ru/catalog/product/1863100", "Ознакомиться")</f>
        <v>Ознакомиться</v>
      </c>
      <c r="W920" s="8" t="s">
        <v>5547</v>
      </c>
      <c r="X920" s="6"/>
      <c r="Y920" s="6"/>
      <c r="Z920" s="6"/>
      <c r="AA920" s="6" t="s">
        <v>111</v>
      </c>
      <c r="AB920" s="8"/>
    </row>
    <row r="921" spans="1:28" s="4" customFormat="1" ht="44.1" customHeight="1">
      <c r="A921" s="5">
        <v>0</v>
      </c>
      <c r="B921" s="6" t="s">
        <v>5548</v>
      </c>
      <c r="C921" s="7">
        <v>1428</v>
      </c>
      <c r="D921" s="8" t="s">
        <v>5549</v>
      </c>
      <c r="E921" s="8" t="s">
        <v>5550</v>
      </c>
      <c r="F921" s="8" t="s">
        <v>5551</v>
      </c>
      <c r="G921" s="6" t="s">
        <v>38</v>
      </c>
      <c r="H921" s="6" t="s">
        <v>39</v>
      </c>
      <c r="I921" s="8" t="s">
        <v>40</v>
      </c>
      <c r="J921" s="9">
        <v>1</v>
      </c>
      <c r="K921" s="9">
        <v>228</v>
      </c>
      <c r="L921" s="9">
        <v>2025</v>
      </c>
      <c r="M921" s="8" t="s">
        <v>5552</v>
      </c>
      <c r="N921" s="8" t="s">
        <v>284</v>
      </c>
      <c r="O921" s="8" t="s">
        <v>2265</v>
      </c>
      <c r="P921" s="6" t="s">
        <v>44</v>
      </c>
      <c r="Q921" s="8" t="s">
        <v>45</v>
      </c>
      <c r="R921" s="10" t="s">
        <v>5553</v>
      </c>
      <c r="S921" s="11"/>
      <c r="T921" s="6"/>
      <c r="U921" s="24" t="str">
        <f>HYPERLINK("https://media.infra-m.ru/2201/2201373/cover/2201373.jpg", "Обложка")</f>
        <v>Обложка</v>
      </c>
      <c r="V921" s="24" t="str">
        <f>HYPERLINK("https://znanium.ru/catalog/product/2201373", "Ознакомиться")</f>
        <v>Ознакомиться</v>
      </c>
      <c r="W921" s="8" t="s">
        <v>5554</v>
      </c>
      <c r="X921" s="6"/>
      <c r="Y921" s="6"/>
      <c r="Z921" s="6"/>
      <c r="AA921" s="6" t="s">
        <v>76</v>
      </c>
      <c r="AB921" s="8"/>
    </row>
    <row r="922" spans="1:28" s="4" customFormat="1" ht="42" customHeight="1">
      <c r="A922" s="5">
        <v>0</v>
      </c>
      <c r="B922" s="6" t="s">
        <v>5555</v>
      </c>
      <c r="C922" s="13">
        <v>784.8</v>
      </c>
      <c r="D922" s="8" t="s">
        <v>5556</v>
      </c>
      <c r="E922" s="8" t="s">
        <v>5557</v>
      </c>
      <c r="F922" s="8" t="s">
        <v>5558</v>
      </c>
      <c r="G922" s="6" t="s">
        <v>38</v>
      </c>
      <c r="H922" s="6" t="s">
        <v>39</v>
      </c>
      <c r="I922" s="8" t="s">
        <v>40</v>
      </c>
      <c r="J922" s="9">
        <v>1</v>
      </c>
      <c r="K922" s="9">
        <v>142</v>
      </c>
      <c r="L922" s="9">
        <v>2024</v>
      </c>
      <c r="M922" s="8" t="s">
        <v>5559</v>
      </c>
      <c r="N922" s="8" t="s">
        <v>42</v>
      </c>
      <c r="O922" s="8" t="s">
        <v>43</v>
      </c>
      <c r="P922" s="6" t="s">
        <v>44</v>
      </c>
      <c r="Q922" s="8" t="s">
        <v>45</v>
      </c>
      <c r="R922" s="10" t="s">
        <v>1203</v>
      </c>
      <c r="S922" s="11"/>
      <c r="T922" s="6"/>
      <c r="U922" s="24" t="str">
        <f>HYPERLINK("https://media.infra-m.ru/2120/2120773/cover/2120773.jpg", "Обложка")</f>
        <v>Обложка</v>
      </c>
      <c r="V922" s="24" t="str">
        <f>HYPERLINK("https://znanium.ru/catalog/product/988220", "Ознакомиться")</f>
        <v>Ознакомиться</v>
      </c>
      <c r="W922" s="8" t="s">
        <v>126</v>
      </c>
      <c r="X922" s="6"/>
      <c r="Y922" s="6"/>
      <c r="Z922" s="6"/>
      <c r="AA922" s="6" t="s">
        <v>290</v>
      </c>
      <c r="AB922" s="8"/>
    </row>
    <row r="923" spans="1:28" s="4" customFormat="1" ht="51.95" customHeight="1">
      <c r="A923" s="5">
        <v>0</v>
      </c>
      <c r="B923" s="6" t="s">
        <v>5560</v>
      </c>
      <c r="C923" s="7">
        <v>1380</v>
      </c>
      <c r="D923" s="8" t="s">
        <v>5561</v>
      </c>
      <c r="E923" s="8" t="s">
        <v>5562</v>
      </c>
      <c r="F923" s="8" t="s">
        <v>703</v>
      </c>
      <c r="G923" s="6" t="s">
        <v>81</v>
      </c>
      <c r="H923" s="6" t="s">
        <v>39</v>
      </c>
      <c r="I923" s="8" t="s">
        <v>40</v>
      </c>
      <c r="J923" s="9">
        <v>1</v>
      </c>
      <c r="K923" s="9">
        <v>248</v>
      </c>
      <c r="L923" s="9">
        <v>2024</v>
      </c>
      <c r="M923" s="8" t="s">
        <v>5563</v>
      </c>
      <c r="N923" s="8" t="s">
        <v>54</v>
      </c>
      <c r="O923" s="8" t="s">
        <v>55</v>
      </c>
      <c r="P923" s="6" t="s">
        <v>44</v>
      </c>
      <c r="Q923" s="8" t="s">
        <v>45</v>
      </c>
      <c r="R923" s="10" t="s">
        <v>5564</v>
      </c>
      <c r="S923" s="11"/>
      <c r="T923" s="6"/>
      <c r="U923" s="24" t="str">
        <f>HYPERLINK("https://media.infra-m.ru/2119/2119968/cover/2119968.jpg", "Обложка")</f>
        <v>Обложка</v>
      </c>
      <c r="V923" s="24" t="str">
        <f>HYPERLINK("https://znanium.ru/catalog/product/2119968", "Ознакомиться")</f>
        <v>Ознакомиться</v>
      </c>
      <c r="W923" s="8" t="s">
        <v>535</v>
      </c>
      <c r="X923" s="6"/>
      <c r="Y923" s="6"/>
      <c r="Z923" s="6"/>
      <c r="AA923" s="6" t="s">
        <v>339</v>
      </c>
      <c r="AB923" s="8"/>
    </row>
    <row r="924" spans="1:28" s="4" customFormat="1" ht="51.95" customHeight="1">
      <c r="A924" s="5">
        <v>0</v>
      </c>
      <c r="B924" s="6" t="s">
        <v>5565</v>
      </c>
      <c r="C924" s="7">
        <v>1480.8</v>
      </c>
      <c r="D924" s="8" t="s">
        <v>5566</v>
      </c>
      <c r="E924" s="8" t="s">
        <v>5567</v>
      </c>
      <c r="F924" s="8" t="s">
        <v>5568</v>
      </c>
      <c r="G924" s="6" t="s">
        <v>38</v>
      </c>
      <c r="H924" s="6" t="s">
        <v>1019</v>
      </c>
      <c r="I924" s="8" t="s">
        <v>1020</v>
      </c>
      <c r="J924" s="9">
        <v>1</v>
      </c>
      <c r="K924" s="9">
        <v>267</v>
      </c>
      <c r="L924" s="9">
        <v>2024</v>
      </c>
      <c r="M924" s="8" t="s">
        <v>5569</v>
      </c>
      <c r="N924" s="8" t="s">
        <v>42</v>
      </c>
      <c r="O924" s="8" t="s">
        <v>1035</v>
      </c>
      <c r="P924" s="6" t="s">
        <v>44</v>
      </c>
      <c r="Q924" s="8" t="s">
        <v>45</v>
      </c>
      <c r="R924" s="10" t="s">
        <v>5570</v>
      </c>
      <c r="S924" s="11"/>
      <c r="T924" s="6"/>
      <c r="U924" s="24" t="str">
        <f>HYPERLINK("https://media.infra-m.ru/2082/2082731/cover/2082731.jpg", "Обложка")</f>
        <v>Обложка</v>
      </c>
      <c r="V924" s="24" t="str">
        <f>HYPERLINK("https://znanium.ru/catalog/product/1851533", "Ознакомиться")</f>
        <v>Ознакомиться</v>
      </c>
      <c r="W924" s="8" t="s">
        <v>167</v>
      </c>
      <c r="X924" s="6"/>
      <c r="Y924" s="6"/>
      <c r="Z924" s="6"/>
      <c r="AA924" s="6" t="s">
        <v>290</v>
      </c>
      <c r="AB924" s="8"/>
    </row>
    <row r="925" spans="1:28" s="4" customFormat="1" ht="42" customHeight="1">
      <c r="A925" s="5">
        <v>0</v>
      </c>
      <c r="B925" s="6" t="s">
        <v>5571</v>
      </c>
      <c r="C925" s="7">
        <v>1620</v>
      </c>
      <c r="D925" s="8" t="s">
        <v>5572</v>
      </c>
      <c r="E925" s="8" t="s">
        <v>5573</v>
      </c>
      <c r="F925" s="8" t="s">
        <v>5574</v>
      </c>
      <c r="G925" s="6" t="s">
        <v>38</v>
      </c>
      <c r="H925" s="6" t="s">
        <v>571</v>
      </c>
      <c r="I925" s="8"/>
      <c r="J925" s="9">
        <v>1</v>
      </c>
      <c r="K925" s="9">
        <v>264</v>
      </c>
      <c r="L925" s="9">
        <v>2025</v>
      </c>
      <c r="M925" s="8" t="s">
        <v>5575</v>
      </c>
      <c r="N925" s="8" t="s">
        <v>42</v>
      </c>
      <c r="O925" s="8" t="s">
        <v>1035</v>
      </c>
      <c r="P925" s="6" t="s">
        <v>44</v>
      </c>
      <c r="Q925" s="8" t="s">
        <v>45</v>
      </c>
      <c r="R925" s="10" t="s">
        <v>5576</v>
      </c>
      <c r="S925" s="11"/>
      <c r="T925" s="6"/>
      <c r="U925" s="24" t="str">
        <f>HYPERLINK("https://media.infra-m.ru/2163/2163976/cover/2163976.jpg", "Обложка")</f>
        <v>Обложка</v>
      </c>
      <c r="V925" s="24" t="str">
        <f>HYPERLINK("https://znanium.ru/catalog/product/2081679", "Ознакомиться")</f>
        <v>Ознакомиться</v>
      </c>
      <c r="W925" s="8" t="s">
        <v>2080</v>
      </c>
      <c r="X925" s="6"/>
      <c r="Y925" s="6"/>
      <c r="Z925" s="6"/>
      <c r="AA925" s="6" t="s">
        <v>68</v>
      </c>
      <c r="AB925" s="8"/>
    </row>
    <row r="926" spans="1:28" s="4" customFormat="1" ht="51.95" customHeight="1">
      <c r="A926" s="5">
        <v>0</v>
      </c>
      <c r="B926" s="6" t="s">
        <v>5577</v>
      </c>
      <c r="C926" s="13">
        <v>773.9</v>
      </c>
      <c r="D926" s="8" t="s">
        <v>5578</v>
      </c>
      <c r="E926" s="8" t="s">
        <v>5579</v>
      </c>
      <c r="F926" s="8" t="s">
        <v>5580</v>
      </c>
      <c r="G926" s="6" t="s">
        <v>38</v>
      </c>
      <c r="H926" s="6" t="s">
        <v>39</v>
      </c>
      <c r="I926" s="8" t="s">
        <v>40</v>
      </c>
      <c r="J926" s="9">
        <v>1</v>
      </c>
      <c r="K926" s="9">
        <v>166</v>
      </c>
      <c r="L926" s="9">
        <v>2022</v>
      </c>
      <c r="M926" s="8" t="s">
        <v>5581</v>
      </c>
      <c r="N926" s="8" t="s">
        <v>42</v>
      </c>
      <c r="O926" s="8" t="s">
        <v>1035</v>
      </c>
      <c r="P926" s="6" t="s">
        <v>44</v>
      </c>
      <c r="Q926" s="8" t="s">
        <v>45</v>
      </c>
      <c r="R926" s="10" t="s">
        <v>3570</v>
      </c>
      <c r="S926" s="11"/>
      <c r="T926" s="6"/>
      <c r="U926" s="24" t="str">
        <f>HYPERLINK("https://media.infra-m.ru/1843/1843623/cover/1843623.jpg", "Обложка")</f>
        <v>Обложка</v>
      </c>
      <c r="V926" s="24" t="str">
        <f>HYPERLINK("https://znanium.ru/catalog/product/1843623", "Ознакомиться")</f>
        <v>Ознакомиться</v>
      </c>
      <c r="W926" s="8" t="s">
        <v>4241</v>
      </c>
      <c r="X926" s="6"/>
      <c r="Y926" s="6"/>
      <c r="Z926" s="6"/>
      <c r="AA926" s="6" t="s">
        <v>48</v>
      </c>
      <c r="AB926" s="8"/>
    </row>
    <row r="927" spans="1:28" s="4" customFormat="1" ht="42" customHeight="1">
      <c r="A927" s="5">
        <v>0</v>
      </c>
      <c r="B927" s="6" t="s">
        <v>5582</v>
      </c>
      <c r="C927" s="7">
        <v>1188</v>
      </c>
      <c r="D927" s="8" t="s">
        <v>5583</v>
      </c>
      <c r="E927" s="8" t="s">
        <v>5584</v>
      </c>
      <c r="F927" s="8" t="s">
        <v>5585</v>
      </c>
      <c r="G927" s="6" t="s">
        <v>38</v>
      </c>
      <c r="H927" s="6" t="s">
        <v>39</v>
      </c>
      <c r="I927" s="8" t="s">
        <v>40</v>
      </c>
      <c r="J927" s="9">
        <v>1</v>
      </c>
      <c r="K927" s="9">
        <v>197</v>
      </c>
      <c r="L927" s="9">
        <v>2025</v>
      </c>
      <c r="M927" s="8" t="s">
        <v>5586</v>
      </c>
      <c r="N927" s="8" t="s">
        <v>229</v>
      </c>
      <c r="O927" s="8" t="s">
        <v>230</v>
      </c>
      <c r="P927" s="6" t="s">
        <v>44</v>
      </c>
      <c r="Q927" s="8" t="s">
        <v>45</v>
      </c>
      <c r="R927" s="10" t="s">
        <v>508</v>
      </c>
      <c r="S927" s="11"/>
      <c r="T927" s="6"/>
      <c r="U927" s="24" t="str">
        <f>HYPERLINK("https://media.infra-m.ru/2155/2155768/cover/2155768.jpg", "Обложка")</f>
        <v>Обложка</v>
      </c>
      <c r="V927" s="24" t="str">
        <f>HYPERLINK("https://znanium.ru/catalog/product/2155768", "Ознакомиться")</f>
        <v>Ознакомиться</v>
      </c>
      <c r="W927" s="8" t="s">
        <v>5587</v>
      </c>
      <c r="X927" s="6"/>
      <c r="Y927" s="6"/>
      <c r="Z927" s="6"/>
      <c r="AA927" s="6" t="s">
        <v>159</v>
      </c>
      <c r="AB927" s="8" t="s">
        <v>1101</v>
      </c>
    </row>
    <row r="928" spans="1:28" s="4" customFormat="1" ht="42" customHeight="1">
      <c r="A928" s="5">
        <v>0</v>
      </c>
      <c r="B928" s="6" t="s">
        <v>5588</v>
      </c>
      <c r="C928" s="7">
        <v>1528.8</v>
      </c>
      <c r="D928" s="8" t="s">
        <v>5589</v>
      </c>
      <c r="E928" s="8" t="s">
        <v>5590</v>
      </c>
      <c r="F928" s="8" t="s">
        <v>5591</v>
      </c>
      <c r="G928" s="6" t="s">
        <v>38</v>
      </c>
      <c r="H928" s="6" t="s">
        <v>39</v>
      </c>
      <c r="I928" s="8" t="s">
        <v>40</v>
      </c>
      <c r="J928" s="9">
        <v>1</v>
      </c>
      <c r="K928" s="9">
        <v>282</v>
      </c>
      <c r="L928" s="9">
        <v>2023</v>
      </c>
      <c r="M928" s="8" t="s">
        <v>5592</v>
      </c>
      <c r="N928" s="8" t="s">
        <v>42</v>
      </c>
      <c r="O928" s="8" t="s">
        <v>246</v>
      </c>
      <c r="P928" s="6" t="s">
        <v>44</v>
      </c>
      <c r="Q928" s="8" t="s">
        <v>45</v>
      </c>
      <c r="R928" s="10" t="s">
        <v>5593</v>
      </c>
      <c r="S928" s="11"/>
      <c r="T928" s="6"/>
      <c r="U928" s="24" t="str">
        <f>HYPERLINK("https://media.infra-m.ru/2006/2006897/cover/2006897.jpg", "Обложка")</f>
        <v>Обложка</v>
      </c>
      <c r="V928" s="24" t="str">
        <f>HYPERLINK("https://znanium.ru/catalog/product/971769", "Ознакомиться")</f>
        <v>Ознакомиться</v>
      </c>
      <c r="W928" s="8" t="s">
        <v>1594</v>
      </c>
      <c r="X928" s="6"/>
      <c r="Y928" s="6"/>
      <c r="Z928" s="6"/>
      <c r="AA928" s="6" t="s">
        <v>76</v>
      </c>
      <c r="AB928" s="8"/>
    </row>
    <row r="929" spans="1:28" s="4" customFormat="1" ht="51.95" customHeight="1">
      <c r="A929" s="5">
        <v>0</v>
      </c>
      <c r="B929" s="6" t="s">
        <v>5594</v>
      </c>
      <c r="C929" s="7">
        <v>1696.8</v>
      </c>
      <c r="D929" s="8" t="s">
        <v>5595</v>
      </c>
      <c r="E929" s="8" t="s">
        <v>5596</v>
      </c>
      <c r="F929" s="8" t="s">
        <v>5597</v>
      </c>
      <c r="G929" s="6" t="s">
        <v>38</v>
      </c>
      <c r="H929" s="6" t="s">
        <v>571</v>
      </c>
      <c r="I929" s="8"/>
      <c r="J929" s="9">
        <v>1</v>
      </c>
      <c r="K929" s="9">
        <v>272</v>
      </c>
      <c r="L929" s="9">
        <v>2025</v>
      </c>
      <c r="M929" s="8" t="s">
        <v>5598</v>
      </c>
      <c r="N929" s="8" t="s">
        <v>42</v>
      </c>
      <c r="O929" s="8" t="s">
        <v>1035</v>
      </c>
      <c r="P929" s="6" t="s">
        <v>44</v>
      </c>
      <c r="Q929" s="8" t="s">
        <v>45</v>
      </c>
      <c r="R929" s="10" t="s">
        <v>5599</v>
      </c>
      <c r="S929" s="11"/>
      <c r="T929" s="6"/>
      <c r="U929" s="24" t="str">
        <f>HYPERLINK("https://media.infra-m.ru/2200/2200119/cover/2200119.jpg", "Обложка")</f>
        <v>Обложка</v>
      </c>
      <c r="V929" s="24" t="str">
        <f>HYPERLINK("https://znanium.ru/catalog/product/1233658", "Ознакомиться")</f>
        <v>Ознакомиться</v>
      </c>
      <c r="W929" s="8" t="s">
        <v>2080</v>
      </c>
      <c r="X929" s="6"/>
      <c r="Y929" s="6"/>
      <c r="Z929" s="6"/>
      <c r="AA929" s="6" t="s">
        <v>127</v>
      </c>
      <c r="AB929" s="8"/>
    </row>
    <row r="930" spans="1:28" s="4" customFormat="1" ht="51.95" customHeight="1">
      <c r="A930" s="5">
        <v>0</v>
      </c>
      <c r="B930" s="6" t="s">
        <v>5600</v>
      </c>
      <c r="C930" s="13">
        <v>684</v>
      </c>
      <c r="D930" s="8" t="s">
        <v>5601</v>
      </c>
      <c r="E930" s="8" t="s">
        <v>5602</v>
      </c>
      <c r="F930" s="8" t="s">
        <v>5603</v>
      </c>
      <c r="G930" s="6" t="s">
        <v>38</v>
      </c>
      <c r="H930" s="6" t="s">
        <v>182</v>
      </c>
      <c r="I930" s="8" t="s">
        <v>40</v>
      </c>
      <c r="J930" s="9">
        <v>1</v>
      </c>
      <c r="K930" s="9">
        <v>160</v>
      </c>
      <c r="L930" s="9">
        <v>2020</v>
      </c>
      <c r="M930" s="8" t="s">
        <v>5604</v>
      </c>
      <c r="N930" s="8" t="s">
        <v>42</v>
      </c>
      <c r="O930" s="8" t="s">
        <v>1035</v>
      </c>
      <c r="P930" s="6" t="s">
        <v>44</v>
      </c>
      <c r="Q930" s="8" t="s">
        <v>1152</v>
      </c>
      <c r="R930" s="10" t="s">
        <v>5605</v>
      </c>
      <c r="S930" s="11"/>
      <c r="T930" s="6" t="s">
        <v>1080</v>
      </c>
      <c r="U930" s="24" t="str">
        <f>HYPERLINK("https://media.infra-m.ru/1047/1047091/cover/1047091.jpg", "Обложка")</f>
        <v>Обложка</v>
      </c>
      <c r="V930" s="24" t="str">
        <f>HYPERLINK("https://znanium.ru/catalog/product/1047091", "Ознакомиться")</f>
        <v>Ознакомиться</v>
      </c>
      <c r="W930" s="8" t="s">
        <v>1204</v>
      </c>
      <c r="X930" s="6"/>
      <c r="Y930" s="6"/>
      <c r="Z930" s="6"/>
      <c r="AA930" s="6" t="s">
        <v>377</v>
      </c>
      <c r="AB930" s="8"/>
    </row>
    <row r="931" spans="1:28" s="4" customFormat="1" ht="42" customHeight="1">
      <c r="A931" s="5">
        <v>0</v>
      </c>
      <c r="B931" s="6" t="s">
        <v>5606</v>
      </c>
      <c r="C931" s="7">
        <v>1404</v>
      </c>
      <c r="D931" s="8" t="s">
        <v>5607</v>
      </c>
      <c r="E931" s="8" t="s">
        <v>5608</v>
      </c>
      <c r="F931" s="8" t="s">
        <v>5609</v>
      </c>
      <c r="G931" s="6" t="s">
        <v>81</v>
      </c>
      <c r="H931" s="6" t="s">
        <v>39</v>
      </c>
      <c r="I931" s="8" t="s">
        <v>40</v>
      </c>
      <c r="J931" s="9">
        <v>1</v>
      </c>
      <c r="K931" s="9">
        <v>248</v>
      </c>
      <c r="L931" s="9">
        <v>2024</v>
      </c>
      <c r="M931" s="8" t="s">
        <v>5610</v>
      </c>
      <c r="N931" s="8" t="s">
        <v>42</v>
      </c>
      <c r="O931" s="8" t="s">
        <v>1035</v>
      </c>
      <c r="P931" s="6" t="s">
        <v>44</v>
      </c>
      <c r="Q931" s="8" t="s">
        <v>45</v>
      </c>
      <c r="R931" s="10" t="s">
        <v>1100</v>
      </c>
      <c r="S931" s="11"/>
      <c r="T931" s="6"/>
      <c r="U931" s="24" t="str">
        <f>HYPERLINK("https://media.infra-m.ru/2130/2130641/cover/2130641.jpg", "Обложка")</f>
        <v>Обложка</v>
      </c>
      <c r="V931" s="24" t="str">
        <f>HYPERLINK("https://znanium.ru/catalog/product/2130641", "Ознакомиться")</f>
        <v>Ознакомиться</v>
      </c>
      <c r="W931" s="8" t="s">
        <v>191</v>
      </c>
      <c r="X931" s="6"/>
      <c r="Y931" s="6"/>
      <c r="Z931" s="6"/>
      <c r="AA931" s="6" t="s">
        <v>58</v>
      </c>
      <c r="AB931" s="8"/>
    </row>
    <row r="932" spans="1:28" s="4" customFormat="1" ht="44.1" customHeight="1">
      <c r="A932" s="5">
        <v>0</v>
      </c>
      <c r="B932" s="6" t="s">
        <v>5611</v>
      </c>
      <c r="C932" s="7">
        <v>2268</v>
      </c>
      <c r="D932" s="8" t="s">
        <v>5612</v>
      </c>
      <c r="E932" s="8" t="s">
        <v>5613</v>
      </c>
      <c r="F932" s="8" t="s">
        <v>5609</v>
      </c>
      <c r="G932" s="6" t="s">
        <v>81</v>
      </c>
      <c r="H932" s="6" t="s">
        <v>39</v>
      </c>
      <c r="I932" s="8" t="s">
        <v>40</v>
      </c>
      <c r="J932" s="9">
        <v>1</v>
      </c>
      <c r="K932" s="9">
        <v>372</v>
      </c>
      <c r="L932" s="9">
        <v>2025</v>
      </c>
      <c r="M932" s="8" t="s">
        <v>5614</v>
      </c>
      <c r="N932" s="8" t="s">
        <v>42</v>
      </c>
      <c r="O932" s="8" t="s">
        <v>1035</v>
      </c>
      <c r="P932" s="6" t="s">
        <v>44</v>
      </c>
      <c r="Q932" s="8" t="s">
        <v>45</v>
      </c>
      <c r="R932" s="10" t="s">
        <v>5615</v>
      </c>
      <c r="S932" s="11"/>
      <c r="T932" s="6"/>
      <c r="U932" s="24" t="str">
        <f>HYPERLINK("https://media.infra-m.ru/2163/2163027/cover/2163027.jpg", "Обложка")</f>
        <v>Обложка</v>
      </c>
      <c r="V932" s="24" t="str">
        <f>HYPERLINK("https://znanium.ru/catalog/product/2163027", "Ознакомиться")</f>
        <v>Ознакомиться</v>
      </c>
      <c r="W932" s="8" t="s">
        <v>191</v>
      </c>
      <c r="X932" s="6"/>
      <c r="Y932" s="6"/>
      <c r="Z932" s="6"/>
      <c r="AA932" s="6" t="s">
        <v>58</v>
      </c>
      <c r="AB932" s="8"/>
    </row>
    <row r="933" spans="1:28" s="4" customFormat="1" ht="51.95" customHeight="1">
      <c r="A933" s="5">
        <v>0</v>
      </c>
      <c r="B933" s="6" t="s">
        <v>5616</v>
      </c>
      <c r="C933" s="7">
        <v>1284</v>
      </c>
      <c r="D933" s="8" t="s">
        <v>5617</v>
      </c>
      <c r="E933" s="8" t="s">
        <v>5618</v>
      </c>
      <c r="F933" s="8" t="s">
        <v>5619</v>
      </c>
      <c r="G933" s="6" t="s">
        <v>38</v>
      </c>
      <c r="H933" s="6" t="s">
        <v>39</v>
      </c>
      <c r="I933" s="8" t="s">
        <v>40</v>
      </c>
      <c r="J933" s="9">
        <v>1</v>
      </c>
      <c r="K933" s="9">
        <v>229</v>
      </c>
      <c r="L933" s="9">
        <v>2023</v>
      </c>
      <c r="M933" s="8" t="s">
        <v>5620</v>
      </c>
      <c r="N933" s="8" t="s">
        <v>220</v>
      </c>
      <c r="O933" s="8" t="s">
        <v>252</v>
      </c>
      <c r="P933" s="6" t="s">
        <v>44</v>
      </c>
      <c r="Q933" s="8" t="s">
        <v>45</v>
      </c>
      <c r="R933" s="10" t="s">
        <v>5621</v>
      </c>
      <c r="S933" s="11"/>
      <c r="T933" s="6"/>
      <c r="U933" s="24" t="str">
        <f>HYPERLINK("https://media.infra-m.ru/1906/1906037/cover/1906037.jpg", "Обложка")</f>
        <v>Обложка</v>
      </c>
      <c r="V933" s="24" t="str">
        <f>HYPERLINK("https://znanium.ru/catalog/product/1906037", "Ознакомиться")</f>
        <v>Ознакомиться</v>
      </c>
      <c r="W933" s="8" t="s">
        <v>5622</v>
      </c>
      <c r="X933" s="6"/>
      <c r="Y933" s="6"/>
      <c r="Z933" s="6"/>
      <c r="AA933" s="6" t="s">
        <v>119</v>
      </c>
      <c r="AB933" s="8"/>
    </row>
    <row r="934" spans="1:28" s="4" customFormat="1" ht="42" customHeight="1">
      <c r="A934" s="5">
        <v>0</v>
      </c>
      <c r="B934" s="6" t="s">
        <v>5623</v>
      </c>
      <c r="C934" s="13">
        <v>984</v>
      </c>
      <c r="D934" s="8" t="s">
        <v>5624</v>
      </c>
      <c r="E934" s="8" t="s">
        <v>5625</v>
      </c>
      <c r="F934" s="8" t="s">
        <v>5626</v>
      </c>
      <c r="G934" s="6" t="s">
        <v>38</v>
      </c>
      <c r="H934" s="6" t="s">
        <v>39</v>
      </c>
      <c r="I934" s="8" t="s">
        <v>40</v>
      </c>
      <c r="J934" s="9">
        <v>1</v>
      </c>
      <c r="K934" s="9">
        <v>173</v>
      </c>
      <c r="L934" s="9">
        <v>2022</v>
      </c>
      <c r="M934" s="8" t="s">
        <v>5627</v>
      </c>
      <c r="N934" s="8" t="s">
        <v>229</v>
      </c>
      <c r="O934" s="8" t="s">
        <v>230</v>
      </c>
      <c r="P934" s="6" t="s">
        <v>44</v>
      </c>
      <c r="Q934" s="8" t="s">
        <v>45</v>
      </c>
      <c r="R934" s="10" t="s">
        <v>508</v>
      </c>
      <c r="S934" s="11"/>
      <c r="T934" s="6"/>
      <c r="U934" s="24" t="str">
        <f>HYPERLINK("https://media.infra-m.ru/1859/1859606/cover/1859606.jpg", "Обложка")</f>
        <v>Обложка</v>
      </c>
      <c r="V934" s="24" t="str">
        <f>HYPERLINK("https://znanium.ru/catalog/product/1859606", "Ознакомиться")</f>
        <v>Ознакомиться</v>
      </c>
      <c r="W934" s="8" t="s">
        <v>5628</v>
      </c>
      <c r="X934" s="6"/>
      <c r="Y934" s="6"/>
      <c r="Z934" s="6"/>
      <c r="AA934" s="6" t="s">
        <v>111</v>
      </c>
      <c r="AB934" s="8"/>
    </row>
    <row r="935" spans="1:28" s="4" customFormat="1" ht="51.95" customHeight="1">
      <c r="A935" s="5">
        <v>0</v>
      </c>
      <c r="B935" s="6" t="s">
        <v>5629</v>
      </c>
      <c r="C935" s="7">
        <v>1565.9</v>
      </c>
      <c r="D935" s="8" t="s">
        <v>5630</v>
      </c>
      <c r="E935" s="8" t="s">
        <v>5631</v>
      </c>
      <c r="F935" s="8" t="s">
        <v>5632</v>
      </c>
      <c r="G935" s="6" t="s">
        <v>38</v>
      </c>
      <c r="H935" s="6" t="s">
        <v>182</v>
      </c>
      <c r="I935" s="8" t="s">
        <v>40</v>
      </c>
      <c r="J935" s="9">
        <v>1</v>
      </c>
      <c r="K935" s="9">
        <v>290</v>
      </c>
      <c r="L935" s="9">
        <v>2023</v>
      </c>
      <c r="M935" s="8" t="s">
        <v>5633</v>
      </c>
      <c r="N935" s="8" t="s">
        <v>220</v>
      </c>
      <c r="O935" s="8" t="s">
        <v>1250</v>
      </c>
      <c r="P935" s="6" t="s">
        <v>44</v>
      </c>
      <c r="Q935" s="8" t="s">
        <v>45</v>
      </c>
      <c r="R935" s="10" t="s">
        <v>5634</v>
      </c>
      <c r="S935" s="11"/>
      <c r="T935" s="6"/>
      <c r="U935" s="24" t="str">
        <f>HYPERLINK("https://media.infra-m.ru/1913/1913981/cover/1913981.jpg", "Обложка")</f>
        <v>Обложка</v>
      </c>
      <c r="V935" s="24" t="str">
        <f>HYPERLINK("https://znanium.ru/catalog/product/2232497", "Ознакомиться")</f>
        <v>Ознакомиться</v>
      </c>
      <c r="W935" s="8" t="s">
        <v>5635</v>
      </c>
      <c r="X935" s="6"/>
      <c r="Y935" s="6"/>
      <c r="Z935" s="6"/>
      <c r="AA935" s="6" t="s">
        <v>331</v>
      </c>
      <c r="AB935" s="8"/>
    </row>
    <row r="936" spans="1:28" s="4" customFormat="1" ht="51.95" customHeight="1">
      <c r="A936" s="5">
        <v>0</v>
      </c>
      <c r="B936" s="6" t="s">
        <v>5636</v>
      </c>
      <c r="C936" s="13">
        <v>840</v>
      </c>
      <c r="D936" s="8" t="s">
        <v>5637</v>
      </c>
      <c r="E936" s="8" t="s">
        <v>5638</v>
      </c>
      <c r="F936" s="8" t="s">
        <v>5639</v>
      </c>
      <c r="G936" s="6" t="s">
        <v>38</v>
      </c>
      <c r="H936" s="6" t="s">
        <v>39</v>
      </c>
      <c r="I936" s="8" t="s">
        <v>40</v>
      </c>
      <c r="J936" s="9">
        <v>1</v>
      </c>
      <c r="K936" s="9">
        <v>150</v>
      </c>
      <c r="L936" s="9">
        <v>2021</v>
      </c>
      <c r="M936" s="8" t="s">
        <v>5640</v>
      </c>
      <c r="N936" s="8" t="s">
        <v>284</v>
      </c>
      <c r="O936" s="8" t="s">
        <v>383</v>
      </c>
      <c r="P936" s="6" t="s">
        <v>44</v>
      </c>
      <c r="Q936" s="8" t="s">
        <v>45</v>
      </c>
      <c r="R936" s="10" t="s">
        <v>5641</v>
      </c>
      <c r="S936" s="11"/>
      <c r="T936" s="6"/>
      <c r="U936" s="24" t="str">
        <f>HYPERLINK("https://media.infra-m.ru/1163/1163946/cover/1163946.jpg", "Обложка")</f>
        <v>Обложка</v>
      </c>
      <c r="V936" s="24" t="str">
        <f>HYPERLINK("https://znanium.ru/catalog/product/1163946", "Ознакомиться")</f>
        <v>Ознакомиться</v>
      </c>
      <c r="W936" s="8"/>
      <c r="X936" s="6"/>
      <c r="Y936" s="6"/>
      <c r="Z936" s="6"/>
      <c r="AA936" s="6" t="s">
        <v>199</v>
      </c>
      <c r="AB936" s="8"/>
    </row>
    <row r="937" spans="1:28" s="4" customFormat="1" ht="51.95" customHeight="1">
      <c r="A937" s="5">
        <v>0</v>
      </c>
      <c r="B937" s="6" t="s">
        <v>5642</v>
      </c>
      <c r="C937" s="7">
        <v>1740</v>
      </c>
      <c r="D937" s="8" t="s">
        <v>5643</v>
      </c>
      <c r="E937" s="8" t="s">
        <v>5644</v>
      </c>
      <c r="F937" s="8" t="s">
        <v>5645</v>
      </c>
      <c r="G937" s="6" t="s">
        <v>38</v>
      </c>
      <c r="H937" s="6" t="s">
        <v>39</v>
      </c>
      <c r="I937" s="8" t="s">
        <v>40</v>
      </c>
      <c r="J937" s="9">
        <v>1</v>
      </c>
      <c r="K937" s="9">
        <v>342</v>
      </c>
      <c r="L937" s="9">
        <v>2022</v>
      </c>
      <c r="M937" s="8" t="s">
        <v>5646</v>
      </c>
      <c r="N937" s="8" t="s">
        <v>220</v>
      </c>
      <c r="O937" s="8" t="s">
        <v>221</v>
      </c>
      <c r="P937" s="6" t="s">
        <v>44</v>
      </c>
      <c r="Q937" s="8" t="s">
        <v>45</v>
      </c>
      <c r="R937" s="10" t="s">
        <v>5647</v>
      </c>
      <c r="S937" s="11"/>
      <c r="T937" s="6"/>
      <c r="U937" s="24" t="str">
        <f>HYPERLINK("https://media.infra-m.ru/1871/1871445/cover/1871445.jpg", "Обложка")</f>
        <v>Обложка</v>
      </c>
      <c r="V937" s="24" t="str">
        <f>HYPERLINK("https://znanium.ru/catalog/product/1871445", "Ознакомиться")</f>
        <v>Ознакомиться</v>
      </c>
      <c r="W937" s="8" t="s">
        <v>5648</v>
      </c>
      <c r="X937" s="6"/>
      <c r="Y937" s="6"/>
      <c r="Z937" s="6"/>
      <c r="AA937" s="6" t="s">
        <v>111</v>
      </c>
      <c r="AB937" s="8"/>
    </row>
    <row r="938" spans="1:28" s="4" customFormat="1" ht="44.1" customHeight="1">
      <c r="A938" s="5">
        <v>0</v>
      </c>
      <c r="B938" s="6" t="s">
        <v>5649</v>
      </c>
      <c r="C938" s="7">
        <v>1325.9</v>
      </c>
      <c r="D938" s="8" t="s">
        <v>5650</v>
      </c>
      <c r="E938" s="8" t="s">
        <v>5651</v>
      </c>
      <c r="F938" s="8" t="s">
        <v>5645</v>
      </c>
      <c r="G938" s="6" t="s">
        <v>132</v>
      </c>
      <c r="H938" s="6" t="s">
        <v>39</v>
      </c>
      <c r="I938" s="8" t="s">
        <v>40</v>
      </c>
      <c r="J938" s="9">
        <v>1</v>
      </c>
      <c r="K938" s="9">
        <v>246</v>
      </c>
      <c r="L938" s="9">
        <v>2023</v>
      </c>
      <c r="M938" s="8" t="s">
        <v>5652</v>
      </c>
      <c r="N938" s="8" t="s">
        <v>220</v>
      </c>
      <c r="O938" s="8" t="s">
        <v>252</v>
      </c>
      <c r="P938" s="6" t="s">
        <v>44</v>
      </c>
      <c r="Q938" s="8" t="s">
        <v>45</v>
      </c>
      <c r="R938" s="10" t="s">
        <v>5653</v>
      </c>
      <c r="S938" s="11"/>
      <c r="T938" s="6"/>
      <c r="U938" s="24" t="str">
        <f>HYPERLINK("https://media.infra-m.ru/1965/1965736/cover/1965736.jpg", "Обложка")</f>
        <v>Обложка</v>
      </c>
      <c r="V938" s="24" t="str">
        <f>HYPERLINK("https://znanium.ru/catalog/product/1005535", "Ознакомиться")</f>
        <v>Ознакомиться</v>
      </c>
      <c r="W938" s="8" t="s">
        <v>5648</v>
      </c>
      <c r="X938" s="6"/>
      <c r="Y938" s="6"/>
      <c r="Z938" s="6"/>
      <c r="AA938" s="6" t="s">
        <v>76</v>
      </c>
      <c r="AB938" s="8"/>
    </row>
    <row r="939" spans="1:28" s="4" customFormat="1" ht="44.1" customHeight="1">
      <c r="A939" s="5">
        <v>0</v>
      </c>
      <c r="B939" s="6" t="s">
        <v>5654</v>
      </c>
      <c r="C939" s="7">
        <v>1049.9000000000001</v>
      </c>
      <c r="D939" s="8" t="s">
        <v>5655</v>
      </c>
      <c r="E939" s="8" t="s">
        <v>5656</v>
      </c>
      <c r="F939" s="8" t="s">
        <v>5657</v>
      </c>
      <c r="G939" s="6" t="s">
        <v>38</v>
      </c>
      <c r="H939" s="6" t="s">
        <v>39</v>
      </c>
      <c r="I939" s="8" t="s">
        <v>40</v>
      </c>
      <c r="J939" s="9">
        <v>1</v>
      </c>
      <c r="K939" s="9">
        <v>194</v>
      </c>
      <c r="L939" s="9">
        <v>2023</v>
      </c>
      <c r="M939" s="8" t="s">
        <v>5658</v>
      </c>
      <c r="N939" s="8" t="s">
        <v>220</v>
      </c>
      <c r="O939" s="8" t="s">
        <v>252</v>
      </c>
      <c r="P939" s="6" t="s">
        <v>44</v>
      </c>
      <c r="Q939" s="8" t="s">
        <v>45</v>
      </c>
      <c r="R939" s="10" t="s">
        <v>5659</v>
      </c>
      <c r="S939" s="11"/>
      <c r="T939" s="6"/>
      <c r="U939" s="24" t="str">
        <f>HYPERLINK("https://media.infra-m.ru/1964/1964975/cover/1964975.jpg", "Обложка")</f>
        <v>Обложка</v>
      </c>
      <c r="V939" s="24" t="str">
        <f>HYPERLINK("https://znanium.ru/catalog/product/1014071", "Ознакомиться")</f>
        <v>Ознакомиться</v>
      </c>
      <c r="W939" s="8" t="s">
        <v>3644</v>
      </c>
      <c r="X939" s="6"/>
      <c r="Y939" s="6"/>
      <c r="Z939" s="6"/>
      <c r="AA939" s="6" t="s">
        <v>168</v>
      </c>
      <c r="AB939" s="8" t="s">
        <v>3455</v>
      </c>
    </row>
    <row r="940" spans="1:28" s="4" customFormat="1" ht="51.95" customHeight="1">
      <c r="A940" s="5">
        <v>0</v>
      </c>
      <c r="B940" s="6" t="s">
        <v>5660</v>
      </c>
      <c r="C940" s="7">
        <v>1000.8</v>
      </c>
      <c r="D940" s="8" t="s">
        <v>5661</v>
      </c>
      <c r="E940" s="8" t="s">
        <v>5662</v>
      </c>
      <c r="F940" s="8" t="s">
        <v>5663</v>
      </c>
      <c r="G940" s="6" t="s">
        <v>81</v>
      </c>
      <c r="H940" s="6" t="s">
        <v>99</v>
      </c>
      <c r="I940" s="8"/>
      <c r="J940" s="9">
        <v>1</v>
      </c>
      <c r="K940" s="9">
        <v>160</v>
      </c>
      <c r="L940" s="9">
        <v>2026</v>
      </c>
      <c r="M940" s="8" t="s">
        <v>5664</v>
      </c>
      <c r="N940" s="8" t="s">
        <v>42</v>
      </c>
      <c r="O940" s="8" t="s">
        <v>101</v>
      </c>
      <c r="P940" s="6" t="s">
        <v>44</v>
      </c>
      <c r="Q940" s="8" t="s">
        <v>45</v>
      </c>
      <c r="R940" s="10" t="s">
        <v>3853</v>
      </c>
      <c r="S940" s="11"/>
      <c r="T940" s="6"/>
      <c r="U940" s="24" t="str">
        <f>HYPERLINK("https://media.infra-m.ru/2216/2216939/cover/2216939.jpg", "Обложка")</f>
        <v>Обложка</v>
      </c>
      <c r="V940" s="24" t="str">
        <f>HYPERLINK("https://znanium.ru/catalog/product/2197972", "Ознакомиться")</f>
        <v>Ознакомиться</v>
      </c>
      <c r="W940" s="8" t="s">
        <v>418</v>
      </c>
      <c r="X940" s="6"/>
      <c r="Y940" s="6"/>
      <c r="Z940" s="6"/>
      <c r="AA940" s="6" t="s">
        <v>168</v>
      </c>
      <c r="AB940" s="8"/>
    </row>
    <row r="941" spans="1:28" s="4" customFormat="1" ht="42" customHeight="1">
      <c r="A941" s="5">
        <v>0</v>
      </c>
      <c r="B941" s="6" t="s">
        <v>5665</v>
      </c>
      <c r="C941" s="13">
        <v>497.9</v>
      </c>
      <c r="D941" s="8" t="s">
        <v>5666</v>
      </c>
      <c r="E941" s="8" t="s">
        <v>5667</v>
      </c>
      <c r="F941" s="8" t="s">
        <v>5668</v>
      </c>
      <c r="G941" s="6" t="s">
        <v>38</v>
      </c>
      <c r="H941" s="6" t="s">
        <v>2052</v>
      </c>
      <c r="I941" s="8"/>
      <c r="J941" s="9">
        <v>1</v>
      </c>
      <c r="K941" s="9">
        <v>112</v>
      </c>
      <c r="L941" s="9">
        <v>2023</v>
      </c>
      <c r="M941" s="8" t="s">
        <v>5669</v>
      </c>
      <c r="N941" s="8" t="s">
        <v>42</v>
      </c>
      <c r="O941" s="8" t="s">
        <v>101</v>
      </c>
      <c r="P941" s="6" t="s">
        <v>44</v>
      </c>
      <c r="Q941" s="8" t="s">
        <v>45</v>
      </c>
      <c r="R941" s="10" t="s">
        <v>564</v>
      </c>
      <c r="S941" s="11"/>
      <c r="T941" s="6"/>
      <c r="U941" s="24" t="str">
        <f>HYPERLINK("https://media.infra-m.ru/1937/1937188/cover/1937188.jpg", "Обложка")</f>
        <v>Обложка</v>
      </c>
      <c r="V941" s="24" t="str">
        <f>HYPERLINK("https://znanium.ru/catalog/product/612552", "Ознакомиться")</f>
        <v>Ознакомиться</v>
      </c>
      <c r="W941" s="8" t="s">
        <v>5670</v>
      </c>
      <c r="X941" s="6"/>
      <c r="Y941" s="6"/>
      <c r="Z941" s="6"/>
      <c r="AA941" s="6" t="s">
        <v>5671</v>
      </c>
      <c r="AB941" s="8"/>
    </row>
    <row r="942" spans="1:28" s="4" customFormat="1" ht="51.95" customHeight="1">
      <c r="A942" s="5">
        <v>0</v>
      </c>
      <c r="B942" s="6" t="s">
        <v>5672</v>
      </c>
      <c r="C942" s="7">
        <v>2040</v>
      </c>
      <c r="D942" s="8" t="s">
        <v>5673</v>
      </c>
      <c r="E942" s="8" t="s">
        <v>5674</v>
      </c>
      <c r="F942" s="8" t="s">
        <v>5675</v>
      </c>
      <c r="G942" s="6" t="s">
        <v>81</v>
      </c>
      <c r="H942" s="6" t="s">
        <v>182</v>
      </c>
      <c r="I942" s="8" t="s">
        <v>1216</v>
      </c>
      <c r="J942" s="9">
        <v>1</v>
      </c>
      <c r="K942" s="9">
        <v>340</v>
      </c>
      <c r="L942" s="9">
        <v>2025</v>
      </c>
      <c r="M942" s="8" t="s">
        <v>5676</v>
      </c>
      <c r="N942" s="8" t="s">
        <v>220</v>
      </c>
      <c r="O942" s="8" t="s">
        <v>221</v>
      </c>
      <c r="P942" s="6" t="s">
        <v>2307</v>
      </c>
      <c r="Q942" s="8" t="s">
        <v>45</v>
      </c>
      <c r="R942" s="10" t="s">
        <v>5677</v>
      </c>
      <c r="S942" s="11"/>
      <c r="T942" s="6"/>
      <c r="U942" s="24" t="str">
        <f>HYPERLINK("https://media.infra-m.ru/2169/2169478/cover/2169478.jpg", "Обложка")</f>
        <v>Обложка</v>
      </c>
      <c r="V942" s="12"/>
      <c r="W942" s="8" t="s">
        <v>5678</v>
      </c>
      <c r="X942" s="6"/>
      <c r="Y942" s="6"/>
      <c r="Z942" s="6"/>
      <c r="AA942" s="6" t="s">
        <v>168</v>
      </c>
      <c r="AB942" s="8"/>
    </row>
    <row r="943" spans="1:28" s="4" customFormat="1" ht="51.95" customHeight="1">
      <c r="A943" s="5">
        <v>0</v>
      </c>
      <c r="B943" s="6" t="s">
        <v>5679</v>
      </c>
      <c r="C943" s="7">
        <v>1056</v>
      </c>
      <c r="D943" s="8" t="s">
        <v>5680</v>
      </c>
      <c r="E943" s="8" t="s">
        <v>5681</v>
      </c>
      <c r="F943" s="8" t="s">
        <v>5682</v>
      </c>
      <c r="G943" s="6" t="s">
        <v>38</v>
      </c>
      <c r="H943" s="6" t="s">
        <v>39</v>
      </c>
      <c r="I943" s="8" t="s">
        <v>40</v>
      </c>
      <c r="J943" s="9">
        <v>1</v>
      </c>
      <c r="K943" s="9">
        <v>176</v>
      </c>
      <c r="L943" s="9">
        <v>2025</v>
      </c>
      <c r="M943" s="8" t="s">
        <v>5683</v>
      </c>
      <c r="N943" s="8" t="s">
        <v>54</v>
      </c>
      <c r="O943" s="8" t="s">
        <v>91</v>
      </c>
      <c r="P943" s="6" t="s">
        <v>44</v>
      </c>
      <c r="Q943" s="8" t="s">
        <v>45</v>
      </c>
      <c r="R943" s="10" t="s">
        <v>5684</v>
      </c>
      <c r="S943" s="11"/>
      <c r="T943" s="6"/>
      <c r="U943" s="24" t="str">
        <f>HYPERLINK("https://media.infra-m.ru/2174/2174461/cover/2174461.jpg", "Обложка")</f>
        <v>Обложка</v>
      </c>
      <c r="V943" s="24" t="str">
        <f>HYPERLINK("https://znanium.ru/catalog/product/2174461", "Ознакомиться")</f>
        <v>Ознакомиться</v>
      </c>
      <c r="W943" s="8" t="s">
        <v>5685</v>
      </c>
      <c r="X943" s="6"/>
      <c r="Y943" s="6"/>
      <c r="Z943" s="6"/>
      <c r="AA943" s="6" t="s">
        <v>339</v>
      </c>
      <c r="AB943" s="8"/>
    </row>
    <row r="944" spans="1:28" s="4" customFormat="1" ht="51.95" customHeight="1">
      <c r="A944" s="5">
        <v>0</v>
      </c>
      <c r="B944" s="6" t="s">
        <v>5686</v>
      </c>
      <c r="C944" s="7">
        <v>4070.4</v>
      </c>
      <c r="D944" s="8" t="s">
        <v>5687</v>
      </c>
      <c r="E944" s="8" t="s">
        <v>5688</v>
      </c>
      <c r="F944" s="8" t="s">
        <v>5689</v>
      </c>
      <c r="G944" s="6" t="s">
        <v>132</v>
      </c>
      <c r="H944" s="6" t="s">
        <v>39</v>
      </c>
      <c r="I944" s="8" t="s">
        <v>237</v>
      </c>
      <c r="J944" s="9">
        <v>1</v>
      </c>
      <c r="K944" s="9">
        <v>607</v>
      </c>
      <c r="L944" s="9">
        <v>2025</v>
      </c>
      <c r="M944" s="8" t="s">
        <v>5690</v>
      </c>
      <c r="N944" s="8" t="s">
        <v>284</v>
      </c>
      <c r="O944" s="8" t="s">
        <v>717</v>
      </c>
      <c r="P944" s="6" t="s">
        <v>286</v>
      </c>
      <c r="Q944" s="8" t="s">
        <v>45</v>
      </c>
      <c r="R944" s="10" t="s">
        <v>5691</v>
      </c>
      <c r="S944" s="11"/>
      <c r="T944" s="6"/>
      <c r="U944" s="24" t="str">
        <f>HYPERLINK("https://media.infra-m.ru/2208/2208743/cover/2208743.jpg", "Обложка")</f>
        <v>Обложка</v>
      </c>
      <c r="V944" s="24" t="str">
        <f>HYPERLINK("https://znanium.ru/catalog/product/2208743", "Ознакомиться")</f>
        <v>Ознакомиться</v>
      </c>
      <c r="W944" s="8" t="s">
        <v>5692</v>
      </c>
      <c r="X944" s="6"/>
      <c r="Y944" s="6"/>
      <c r="Z944" s="6"/>
      <c r="AA944" s="6" t="s">
        <v>1363</v>
      </c>
      <c r="AB944" s="8"/>
    </row>
    <row r="945" spans="1:28" s="4" customFormat="1" ht="51.95" customHeight="1">
      <c r="A945" s="5">
        <v>0</v>
      </c>
      <c r="B945" s="6" t="s">
        <v>5693</v>
      </c>
      <c r="C945" s="7">
        <v>2513.9</v>
      </c>
      <c r="D945" s="8" t="s">
        <v>5694</v>
      </c>
      <c r="E945" s="8" t="s">
        <v>5695</v>
      </c>
      <c r="F945" s="8" t="s">
        <v>5696</v>
      </c>
      <c r="G945" s="6" t="s">
        <v>132</v>
      </c>
      <c r="H945" s="6" t="s">
        <v>326</v>
      </c>
      <c r="I945" s="8" t="s">
        <v>4102</v>
      </c>
      <c r="J945" s="9">
        <v>1</v>
      </c>
      <c r="K945" s="9">
        <v>608</v>
      </c>
      <c r="L945" s="9">
        <v>2020</v>
      </c>
      <c r="M945" s="8" t="s">
        <v>5697</v>
      </c>
      <c r="N945" s="8" t="s">
        <v>284</v>
      </c>
      <c r="O945" s="8" t="s">
        <v>717</v>
      </c>
      <c r="P945" s="6" t="s">
        <v>239</v>
      </c>
      <c r="Q945" s="8" t="s">
        <v>45</v>
      </c>
      <c r="R945" s="10" t="s">
        <v>5691</v>
      </c>
      <c r="S945" s="11"/>
      <c r="T945" s="6"/>
      <c r="U945" s="24" t="str">
        <f>HYPERLINK("https://media.infra-m.ru/1052/1052196/cover/1052196.jpg", "Обложка")</f>
        <v>Обложка</v>
      </c>
      <c r="V945" s="24" t="str">
        <f>HYPERLINK("https://znanium.ru/catalog/product/2208743", "Ознакомиться")</f>
        <v>Ознакомиться</v>
      </c>
      <c r="W945" s="8" t="s">
        <v>5692</v>
      </c>
      <c r="X945" s="6"/>
      <c r="Y945" s="6"/>
      <c r="Z945" s="6"/>
      <c r="AA945" s="6" t="s">
        <v>339</v>
      </c>
      <c r="AB945" s="8"/>
    </row>
    <row r="946" spans="1:28" s="4" customFormat="1" ht="44.1" customHeight="1">
      <c r="A946" s="5">
        <v>0</v>
      </c>
      <c r="B946" s="6" t="s">
        <v>5698</v>
      </c>
      <c r="C946" s="7">
        <v>1145.9000000000001</v>
      </c>
      <c r="D946" s="8" t="s">
        <v>5699</v>
      </c>
      <c r="E946" s="8" t="s">
        <v>5700</v>
      </c>
      <c r="F946" s="8" t="s">
        <v>4464</v>
      </c>
      <c r="G946" s="6" t="s">
        <v>38</v>
      </c>
      <c r="H946" s="6" t="s">
        <v>39</v>
      </c>
      <c r="I946" s="8" t="s">
        <v>40</v>
      </c>
      <c r="J946" s="9">
        <v>1</v>
      </c>
      <c r="K946" s="9">
        <v>213</v>
      </c>
      <c r="L946" s="9">
        <v>2022</v>
      </c>
      <c r="M946" s="8" t="s">
        <v>5701</v>
      </c>
      <c r="N946" s="8" t="s">
        <v>284</v>
      </c>
      <c r="O946" s="8" t="s">
        <v>717</v>
      </c>
      <c r="P946" s="6" t="s">
        <v>44</v>
      </c>
      <c r="Q946" s="8" t="s">
        <v>45</v>
      </c>
      <c r="R946" s="10" t="s">
        <v>5702</v>
      </c>
      <c r="S946" s="11"/>
      <c r="T946" s="6"/>
      <c r="U946" s="24" t="str">
        <f>HYPERLINK("https://media.infra-m.ru/1907/1907885/cover/1907885.jpg", "Обложка")</f>
        <v>Обложка</v>
      </c>
      <c r="V946" s="24" t="str">
        <f>HYPERLINK("https://znanium.ru/catalog/product/1873042", "Ознакомиться")</f>
        <v>Ознакомиться</v>
      </c>
      <c r="W946" s="8" t="s">
        <v>232</v>
      </c>
      <c r="X946" s="6"/>
      <c r="Y946" s="6"/>
      <c r="Z946" s="6"/>
      <c r="AA946" s="6" t="s">
        <v>111</v>
      </c>
      <c r="AB946" s="8"/>
    </row>
    <row r="947" spans="1:28" s="4" customFormat="1" ht="42" customHeight="1">
      <c r="A947" s="5">
        <v>0</v>
      </c>
      <c r="B947" s="6" t="s">
        <v>5703</v>
      </c>
      <c r="C947" s="7">
        <v>1049.9000000000001</v>
      </c>
      <c r="D947" s="8" t="s">
        <v>5704</v>
      </c>
      <c r="E947" s="8" t="s">
        <v>5705</v>
      </c>
      <c r="F947" s="8" t="s">
        <v>770</v>
      </c>
      <c r="G947" s="6" t="s">
        <v>132</v>
      </c>
      <c r="H947" s="6" t="s">
        <v>39</v>
      </c>
      <c r="I947" s="8" t="s">
        <v>40</v>
      </c>
      <c r="J947" s="9">
        <v>1</v>
      </c>
      <c r="K947" s="9">
        <v>194</v>
      </c>
      <c r="L947" s="9">
        <v>2023</v>
      </c>
      <c r="M947" s="8" t="s">
        <v>5706</v>
      </c>
      <c r="N947" s="8" t="s">
        <v>42</v>
      </c>
      <c r="O947" s="8" t="s">
        <v>65</v>
      </c>
      <c r="P947" s="6" t="s">
        <v>44</v>
      </c>
      <c r="Q947" s="8" t="s">
        <v>45</v>
      </c>
      <c r="R947" s="10" t="s">
        <v>5707</v>
      </c>
      <c r="S947" s="11"/>
      <c r="T947" s="6"/>
      <c r="U947" s="24" t="str">
        <f>HYPERLINK("https://media.infra-m.ru/2001/2001666/cover/2001666.jpg", "Обложка")</f>
        <v>Обложка</v>
      </c>
      <c r="V947" s="24" t="str">
        <f>HYPERLINK("https://znanium.ru/catalog/product/1048442", "Ознакомиться")</f>
        <v>Ознакомиться</v>
      </c>
      <c r="W947" s="8" t="s">
        <v>773</v>
      </c>
      <c r="X947" s="6"/>
      <c r="Y947" s="6"/>
      <c r="Z947" s="6"/>
      <c r="AA947" s="6" t="s">
        <v>339</v>
      </c>
      <c r="AB947" s="8"/>
    </row>
    <row r="948" spans="1:28" s="4" customFormat="1" ht="42" customHeight="1">
      <c r="A948" s="5">
        <v>0</v>
      </c>
      <c r="B948" s="6" t="s">
        <v>5708</v>
      </c>
      <c r="C948" s="13">
        <v>816</v>
      </c>
      <c r="D948" s="8" t="s">
        <v>5709</v>
      </c>
      <c r="E948" s="8" t="s">
        <v>5710</v>
      </c>
      <c r="F948" s="8" t="s">
        <v>5281</v>
      </c>
      <c r="G948" s="6" t="s">
        <v>38</v>
      </c>
      <c r="H948" s="6" t="s">
        <v>39</v>
      </c>
      <c r="I948" s="8" t="s">
        <v>40</v>
      </c>
      <c r="J948" s="9">
        <v>1</v>
      </c>
      <c r="K948" s="9">
        <v>110</v>
      </c>
      <c r="L948" s="9">
        <v>2025</v>
      </c>
      <c r="M948" s="8" t="s">
        <v>5711</v>
      </c>
      <c r="N948" s="8" t="s">
        <v>42</v>
      </c>
      <c r="O948" s="8" t="s">
        <v>65</v>
      </c>
      <c r="P948" s="6" t="s">
        <v>44</v>
      </c>
      <c r="Q948" s="8" t="s">
        <v>45</v>
      </c>
      <c r="R948" s="10" t="s">
        <v>2137</v>
      </c>
      <c r="S948" s="11"/>
      <c r="T948" s="6"/>
      <c r="U948" s="24" t="str">
        <f>HYPERLINK("https://media.infra-m.ru/2206/2206271/cover/2206271.jpg", "Обложка")</f>
        <v>Обложка</v>
      </c>
      <c r="V948" s="24" t="str">
        <f>HYPERLINK("https://znanium.ru/catalog/product/2206271", "Ознакомиться")</f>
        <v>Ознакомиться</v>
      </c>
      <c r="W948" s="8" t="s">
        <v>3283</v>
      </c>
      <c r="X948" s="6"/>
      <c r="Y948" s="6"/>
      <c r="Z948" s="6"/>
      <c r="AA948" s="6" t="s">
        <v>369</v>
      </c>
      <c r="AB948" s="8"/>
    </row>
    <row r="949" spans="1:28" s="4" customFormat="1" ht="42" customHeight="1">
      <c r="A949" s="5">
        <v>0</v>
      </c>
      <c r="B949" s="6" t="s">
        <v>5712</v>
      </c>
      <c r="C949" s="7">
        <v>2116.8000000000002</v>
      </c>
      <c r="D949" s="8" t="s">
        <v>5713</v>
      </c>
      <c r="E949" s="8" t="s">
        <v>5714</v>
      </c>
      <c r="F949" s="8" t="s">
        <v>5715</v>
      </c>
      <c r="G949" s="6" t="s">
        <v>132</v>
      </c>
      <c r="H949" s="6" t="s">
        <v>99</v>
      </c>
      <c r="I949" s="8"/>
      <c r="J949" s="9">
        <v>1</v>
      </c>
      <c r="K949" s="9">
        <v>352</v>
      </c>
      <c r="L949" s="9">
        <v>2025</v>
      </c>
      <c r="M949" s="8" t="s">
        <v>5716</v>
      </c>
      <c r="N949" s="8" t="s">
        <v>42</v>
      </c>
      <c r="O949" s="8" t="s">
        <v>101</v>
      </c>
      <c r="P949" s="6" t="s">
        <v>44</v>
      </c>
      <c r="Q949" s="8" t="s">
        <v>45</v>
      </c>
      <c r="R949" s="10" t="s">
        <v>564</v>
      </c>
      <c r="S949" s="11"/>
      <c r="T949" s="6"/>
      <c r="U949" s="24" t="str">
        <f>HYPERLINK("https://media.infra-m.ru/2169/2169275/cover/2169275.jpg", "Обложка")</f>
        <v>Обложка</v>
      </c>
      <c r="V949" s="24" t="str">
        <f>HYPERLINK("https://znanium.ru/catalog/product/1151528", "Ознакомиться")</f>
        <v>Ознакомиться</v>
      </c>
      <c r="W949" s="8" t="s">
        <v>516</v>
      </c>
      <c r="X949" s="6"/>
      <c r="Y949" s="6"/>
      <c r="Z949" s="6"/>
      <c r="AA949" s="6" t="s">
        <v>5717</v>
      </c>
      <c r="AB949" s="8"/>
    </row>
    <row r="950" spans="1:28" s="4" customFormat="1" ht="42" customHeight="1">
      <c r="A950" s="5">
        <v>0</v>
      </c>
      <c r="B950" s="6" t="s">
        <v>5718</v>
      </c>
      <c r="C950" s="13">
        <v>689.9</v>
      </c>
      <c r="D950" s="8" t="s">
        <v>5719</v>
      </c>
      <c r="E950" s="8" t="s">
        <v>5720</v>
      </c>
      <c r="F950" s="8" t="s">
        <v>5721</v>
      </c>
      <c r="G950" s="6" t="s">
        <v>132</v>
      </c>
      <c r="H950" s="6" t="s">
        <v>99</v>
      </c>
      <c r="I950" s="8"/>
      <c r="J950" s="9">
        <v>14</v>
      </c>
      <c r="K950" s="9">
        <v>352</v>
      </c>
      <c r="L950" s="9">
        <v>2015</v>
      </c>
      <c r="M950" s="8" t="s">
        <v>5722</v>
      </c>
      <c r="N950" s="8" t="s">
        <v>42</v>
      </c>
      <c r="O950" s="8" t="s">
        <v>101</v>
      </c>
      <c r="P950" s="6" t="s">
        <v>44</v>
      </c>
      <c r="Q950" s="8" t="s">
        <v>45</v>
      </c>
      <c r="R950" s="10" t="s">
        <v>564</v>
      </c>
      <c r="S950" s="11"/>
      <c r="T950" s="6"/>
      <c r="U950" s="24" t="str">
        <f>HYPERLINK("https://media.infra-m.ru/0490/0490097/cover/490097.jpg", "Обложка")</f>
        <v>Обложка</v>
      </c>
      <c r="V950" s="24" t="str">
        <f>HYPERLINK("https://znanium.ru/catalog/product/1151528", "Ознакомиться")</f>
        <v>Ознакомиться</v>
      </c>
      <c r="W950" s="8" t="s">
        <v>516</v>
      </c>
      <c r="X950" s="6"/>
      <c r="Y950" s="6"/>
      <c r="Z950" s="6"/>
      <c r="AA950" s="6" t="s">
        <v>1050</v>
      </c>
      <c r="AB950" s="8"/>
    </row>
    <row r="951" spans="1:28" s="4" customFormat="1" ht="42" customHeight="1">
      <c r="A951" s="5">
        <v>0</v>
      </c>
      <c r="B951" s="6" t="s">
        <v>5723</v>
      </c>
      <c r="C951" s="13">
        <v>840</v>
      </c>
      <c r="D951" s="8" t="s">
        <v>5724</v>
      </c>
      <c r="E951" s="8" t="s">
        <v>5725</v>
      </c>
      <c r="F951" s="8" t="s">
        <v>5726</v>
      </c>
      <c r="G951" s="6" t="s">
        <v>38</v>
      </c>
      <c r="H951" s="6" t="s">
        <v>182</v>
      </c>
      <c r="I951" s="8" t="s">
        <v>40</v>
      </c>
      <c r="J951" s="9">
        <v>1</v>
      </c>
      <c r="K951" s="9">
        <v>133</v>
      </c>
      <c r="L951" s="9">
        <v>2025</v>
      </c>
      <c r="M951" s="8" t="s">
        <v>5727</v>
      </c>
      <c r="N951" s="8" t="s">
        <v>42</v>
      </c>
      <c r="O951" s="8" t="s">
        <v>101</v>
      </c>
      <c r="P951" s="6" t="s">
        <v>44</v>
      </c>
      <c r="Q951" s="8" t="s">
        <v>45</v>
      </c>
      <c r="R951" s="10" t="s">
        <v>269</v>
      </c>
      <c r="S951" s="11"/>
      <c r="T951" s="6"/>
      <c r="U951" s="24" t="str">
        <f>HYPERLINK("https://media.infra-m.ru/2187/2187071/cover/2187071.jpg", "Обложка")</f>
        <v>Обложка</v>
      </c>
      <c r="V951" s="24" t="str">
        <f>HYPERLINK("https://znanium.ru/catalog/product/2187071", "Ознакомиться")</f>
        <v>Ознакомиться</v>
      </c>
      <c r="W951" s="8" t="s">
        <v>75</v>
      </c>
      <c r="X951" s="6"/>
      <c r="Y951" s="6"/>
      <c r="Z951" s="6"/>
      <c r="AA951" s="6" t="s">
        <v>48</v>
      </c>
      <c r="AB951" s="8"/>
    </row>
    <row r="952" spans="1:28" s="4" customFormat="1" ht="44.1" customHeight="1">
      <c r="A952" s="5">
        <v>0</v>
      </c>
      <c r="B952" s="6" t="s">
        <v>5728</v>
      </c>
      <c r="C952" s="7">
        <v>1704</v>
      </c>
      <c r="D952" s="8" t="s">
        <v>5729</v>
      </c>
      <c r="E952" s="8" t="s">
        <v>5730</v>
      </c>
      <c r="F952" s="8" t="s">
        <v>5731</v>
      </c>
      <c r="G952" s="6" t="s">
        <v>38</v>
      </c>
      <c r="H952" s="6" t="s">
        <v>571</v>
      </c>
      <c r="I952" s="8"/>
      <c r="J952" s="9">
        <v>1</v>
      </c>
      <c r="K952" s="9">
        <v>272</v>
      </c>
      <c r="L952" s="9">
        <v>2025</v>
      </c>
      <c r="M952" s="8" t="s">
        <v>5732</v>
      </c>
      <c r="N952" s="8" t="s">
        <v>42</v>
      </c>
      <c r="O952" s="8" t="s">
        <v>101</v>
      </c>
      <c r="P952" s="6" t="s">
        <v>44</v>
      </c>
      <c r="Q952" s="8" t="s">
        <v>45</v>
      </c>
      <c r="R952" s="10" t="s">
        <v>5733</v>
      </c>
      <c r="S952" s="11"/>
      <c r="T952" s="6"/>
      <c r="U952" s="24" t="str">
        <f>HYPERLINK("https://media.infra-m.ru/2204/2204218/cover/2204218.jpg", "Обложка")</f>
        <v>Обложка</v>
      </c>
      <c r="V952" s="24" t="str">
        <f>HYPERLINK("https://znanium.ru/catalog/product/2204218", "Ознакомиться")</f>
        <v>Ознакомиться</v>
      </c>
      <c r="W952" s="8" t="s">
        <v>1211</v>
      </c>
      <c r="X952" s="6"/>
      <c r="Y952" s="6"/>
      <c r="Z952" s="6"/>
      <c r="AA952" s="6" t="s">
        <v>290</v>
      </c>
      <c r="AB952" s="8"/>
    </row>
    <row r="953" spans="1:28" s="4" customFormat="1" ht="51.95" customHeight="1">
      <c r="A953" s="5">
        <v>0</v>
      </c>
      <c r="B953" s="6" t="s">
        <v>5734</v>
      </c>
      <c r="C953" s="13">
        <v>900</v>
      </c>
      <c r="D953" s="8" t="s">
        <v>5735</v>
      </c>
      <c r="E953" s="8" t="s">
        <v>5736</v>
      </c>
      <c r="F953" s="8" t="s">
        <v>3907</v>
      </c>
      <c r="G953" s="6" t="s">
        <v>38</v>
      </c>
      <c r="H953" s="6" t="s">
        <v>39</v>
      </c>
      <c r="I953" s="8" t="s">
        <v>40</v>
      </c>
      <c r="J953" s="9">
        <v>1</v>
      </c>
      <c r="K953" s="9">
        <v>153</v>
      </c>
      <c r="L953" s="9">
        <v>2023</v>
      </c>
      <c r="M953" s="8" t="s">
        <v>5737</v>
      </c>
      <c r="N953" s="8" t="s">
        <v>42</v>
      </c>
      <c r="O953" s="8" t="s">
        <v>101</v>
      </c>
      <c r="P953" s="6" t="s">
        <v>44</v>
      </c>
      <c r="Q953" s="8" t="s">
        <v>45</v>
      </c>
      <c r="R953" s="10" t="s">
        <v>5738</v>
      </c>
      <c r="S953" s="11"/>
      <c r="T953" s="6"/>
      <c r="U953" s="24" t="str">
        <f>HYPERLINK("https://media.infra-m.ru/1903/1903356/cover/1903356.jpg", "Обложка")</f>
        <v>Обложка</v>
      </c>
      <c r="V953" s="24" t="str">
        <f>HYPERLINK("https://znanium.ru/catalog/product/1903356", "Ознакомиться")</f>
        <v>Ознакомиться</v>
      </c>
      <c r="W953" s="8" t="s">
        <v>391</v>
      </c>
      <c r="X953" s="6"/>
      <c r="Y953" s="6"/>
      <c r="Z953" s="6"/>
      <c r="AA953" s="6" t="s">
        <v>119</v>
      </c>
      <c r="AB953" s="8"/>
    </row>
    <row r="954" spans="1:28" s="4" customFormat="1" ht="42" customHeight="1">
      <c r="A954" s="5">
        <v>0</v>
      </c>
      <c r="B954" s="6" t="s">
        <v>5739</v>
      </c>
      <c r="C954" s="7">
        <v>1080</v>
      </c>
      <c r="D954" s="8" t="s">
        <v>5740</v>
      </c>
      <c r="E954" s="8" t="s">
        <v>5741</v>
      </c>
      <c r="F954" s="8" t="s">
        <v>3907</v>
      </c>
      <c r="G954" s="6" t="s">
        <v>38</v>
      </c>
      <c r="H954" s="6" t="s">
        <v>39</v>
      </c>
      <c r="I954" s="8" t="s">
        <v>40</v>
      </c>
      <c r="J954" s="9">
        <v>1</v>
      </c>
      <c r="K954" s="9">
        <v>168</v>
      </c>
      <c r="L954" s="9">
        <v>2024</v>
      </c>
      <c r="M954" s="8" t="s">
        <v>5742</v>
      </c>
      <c r="N954" s="8" t="s">
        <v>42</v>
      </c>
      <c r="O954" s="8" t="s">
        <v>101</v>
      </c>
      <c r="P954" s="6" t="s">
        <v>44</v>
      </c>
      <c r="Q954" s="8" t="s">
        <v>45</v>
      </c>
      <c r="R954" s="10" t="s">
        <v>269</v>
      </c>
      <c r="S954" s="11"/>
      <c r="T954" s="6"/>
      <c r="U954" s="24" t="str">
        <f>HYPERLINK("https://media.infra-m.ru/2137/2137528/cover/2137528.jpg", "Обложка")</f>
        <v>Обложка</v>
      </c>
      <c r="V954" s="24" t="str">
        <f>HYPERLINK("https://znanium.ru/catalog/product/2137528", "Ознакомиться")</f>
        <v>Ознакомиться</v>
      </c>
      <c r="W954" s="8" t="s">
        <v>391</v>
      </c>
      <c r="X954" s="6"/>
      <c r="Y954" s="6"/>
      <c r="Z954" s="6"/>
      <c r="AA954" s="6" t="s">
        <v>58</v>
      </c>
      <c r="AB954" s="8"/>
    </row>
    <row r="955" spans="1:28" s="4" customFormat="1" ht="42" customHeight="1">
      <c r="A955" s="5">
        <v>0</v>
      </c>
      <c r="B955" s="6" t="s">
        <v>5743</v>
      </c>
      <c r="C955" s="13">
        <v>948</v>
      </c>
      <c r="D955" s="8" t="s">
        <v>5744</v>
      </c>
      <c r="E955" s="8" t="s">
        <v>5745</v>
      </c>
      <c r="F955" s="8" t="s">
        <v>5746</v>
      </c>
      <c r="G955" s="6" t="s">
        <v>38</v>
      </c>
      <c r="H955" s="6" t="s">
        <v>39</v>
      </c>
      <c r="I955" s="8" t="s">
        <v>40</v>
      </c>
      <c r="J955" s="9">
        <v>1</v>
      </c>
      <c r="K955" s="9">
        <v>167</v>
      </c>
      <c r="L955" s="9">
        <v>2022</v>
      </c>
      <c r="M955" s="8" t="s">
        <v>5747</v>
      </c>
      <c r="N955" s="8" t="s">
        <v>42</v>
      </c>
      <c r="O955" s="8" t="s">
        <v>101</v>
      </c>
      <c r="P955" s="6" t="s">
        <v>44</v>
      </c>
      <c r="Q955" s="8" t="s">
        <v>45</v>
      </c>
      <c r="R955" s="10" t="s">
        <v>269</v>
      </c>
      <c r="S955" s="11"/>
      <c r="T955" s="6"/>
      <c r="U955" s="24" t="str">
        <f>HYPERLINK("https://media.infra-m.ru/1871/1871444/cover/1871444.jpg", "Обложка")</f>
        <v>Обложка</v>
      </c>
      <c r="V955" s="24" t="str">
        <f>HYPERLINK("https://znanium.ru/catalog/product/1871444", "Ознакомиться")</f>
        <v>Ознакомиться</v>
      </c>
      <c r="W955" s="8" t="s">
        <v>3188</v>
      </c>
      <c r="X955" s="6"/>
      <c r="Y955" s="6"/>
      <c r="Z955" s="6"/>
      <c r="AA955" s="6" t="s">
        <v>111</v>
      </c>
      <c r="AB955" s="8"/>
    </row>
    <row r="956" spans="1:28" s="4" customFormat="1" ht="51.95" customHeight="1">
      <c r="A956" s="5">
        <v>0</v>
      </c>
      <c r="B956" s="6" t="s">
        <v>5748</v>
      </c>
      <c r="C956" s="7">
        <v>2128.8000000000002</v>
      </c>
      <c r="D956" s="8" t="s">
        <v>5749</v>
      </c>
      <c r="E956" s="8" t="s">
        <v>5750</v>
      </c>
      <c r="F956" s="8" t="s">
        <v>5751</v>
      </c>
      <c r="G956" s="6" t="s">
        <v>81</v>
      </c>
      <c r="H956" s="6" t="s">
        <v>39</v>
      </c>
      <c r="I956" s="8" t="s">
        <v>40</v>
      </c>
      <c r="J956" s="9">
        <v>1</v>
      </c>
      <c r="K956" s="9">
        <v>378</v>
      </c>
      <c r="L956" s="9">
        <v>2024</v>
      </c>
      <c r="M956" s="8" t="s">
        <v>5752</v>
      </c>
      <c r="N956" s="8" t="s">
        <v>42</v>
      </c>
      <c r="O956" s="8" t="s">
        <v>101</v>
      </c>
      <c r="P956" s="6" t="s">
        <v>44</v>
      </c>
      <c r="Q956" s="8" t="s">
        <v>45</v>
      </c>
      <c r="R956" s="10" t="s">
        <v>564</v>
      </c>
      <c r="S956" s="11"/>
      <c r="T956" s="6"/>
      <c r="U956" s="24" t="str">
        <f>HYPERLINK("https://media.infra-m.ru/2136/2136017/cover/2136017.jpg", "Обложка")</f>
        <v>Обложка</v>
      </c>
      <c r="V956" s="24" t="str">
        <f>HYPERLINK("https://znanium.ru/catalog/product/2136017", "Ознакомиться")</f>
        <v>Ознакомиться</v>
      </c>
      <c r="W956" s="8" t="s">
        <v>601</v>
      </c>
      <c r="X956" s="6"/>
      <c r="Y956" s="6"/>
      <c r="Z956" s="6"/>
      <c r="AA956" s="6" t="s">
        <v>68</v>
      </c>
      <c r="AB956" s="8"/>
    </row>
    <row r="957" spans="1:28" s="4" customFormat="1" ht="51.95" customHeight="1">
      <c r="A957" s="5">
        <v>0</v>
      </c>
      <c r="B957" s="6" t="s">
        <v>5753</v>
      </c>
      <c r="C957" s="13">
        <v>900</v>
      </c>
      <c r="D957" s="8" t="s">
        <v>5754</v>
      </c>
      <c r="E957" s="8" t="s">
        <v>5755</v>
      </c>
      <c r="F957" s="8" t="s">
        <v>5756</v>
      </c>
      <c r="G957" s="6" t="s">
        <v>38</v>
      </c>
      <c r="H957" s="6" t="s">
        <v>39</v>
      </c>
      <c r="I957" s="8" t="s">
        <v>40</v>
      </c>
      <c r="J957" s="9">
        <v>1</v>
      </c>
      <c r="K957" s="9">
        <v>187</v>
      </c>
      <c r="L957" s="9">
        <v>2022</v>
      </c>
      <c r="M957" s="8" t="s">
        <v>5757</v>
      </c>
      <c r="N957" s="8" t="s">
        <v>42</v>
      </c>
      <c r="O957" s="8" t="s">
        <v>101</v>
      </c>
      <c r="P957" s="6" t="s">
        <v>44</v>
      </c>
      <c r="Q957" s="8" t="s">
        <v>45</v>
      </c>
      <c r="R957" s="10" t="s">
        <v>390</v>
      </c>
      <c r="S957" s="11"/>
      <c r="T957" s="6"/>
      <c r="U957" s="24" t="str">
        <f>HYPERLINK("https://media.infra-m.ru/1587/1587438/cover/1587438.jpg", "Обложка")</f>
        <v>Обложка</v>
      </c>
      <c r="V957" s="24" t="str">
        <f>HYPERLINK("https://znanium.ru/catalog/product/1587438", "Ознакомиться")</f>
        <v>Ознакомиться</v>
      </c>
      <c r="W957" s="8"/>
      <c r="X957" s="6"/>
      <c r="Y957" s="6"/>
      <c r="Z957" s="6"/>
      <c r="AA957" s="6" t="s">
        <v>111</v>
      </c>
      <c r="AB957" s="8"/>
    </row>
    <row r="958" spans="1:28" s="4" customFormat="1" ht="42" customHeight="1">
      <c r="A958" s="5">
        <v>0</v>
      </c>
      <c r="B958" s="6" t="s">
        <v>5758</v>
      </c>
      <c r="C958" s="7">
        <v>1012.8</v>
      </c>
      <c r="D958" s="8" t="s">
        <v>5759</v>
      </c>
      <c r="E958" s="8" t="s">
        <v>5760</v>
      </c>
      <c r="F958" s="8" t="s">
        <v>5761</v>
      </c>
      <c r="G958" s="6" t="s">
        <v>81</v>
      </c>
      <c r="H958" s="6" t="s">
        <v>39</v>
      </c>
      <c r="I958" s="8" t="s">
        <v>40</v>
      </c>
      <c r="J958" s="9">
        <v>1</v>
      </c>
      <c r="K958" s="9">
        <v>169</v>
      </c>
      <c r="L958" s="9">
        <v>2025</v>
      </c>
      <c r="M958" s="8" t="s">
        <v>5762</v>
      </c>
      <c r="N958" s="8" t="s">
        <v>42</v>
      </c>
      <c r="O958" s="8" t="s">
        <v>189</v>
      </c>
      <c r="P958" s="6" t="s">
        <v>44</v>
      </c>
      <c r="Q958" s="8" t="s">
        <v>45</v>
      </c>
      <c r="R958" s="10" t="s">
        <v>3755</v>
      </c>
      <c r="S958" s="11"/>
      <c r="T958" s="6"/>
      <c r="U958" s="24" t="str">
        <f>HYPERLINK("https://media.infra-m.ru/2178/2178763/cover/2178763.jpg", "Обложка")</f>
        <v>Обложка</v>
      </c>
      <c r="V958" s="24" t="str">
        <f>HYPERLINK("https://znanium.ru/catalog/product/1898977", "Ознакомиться")</f>
        <v>Ознакомиться</v>
      </c>
      <c r="W958" s="8" t="s">
        <v>361</v>
      </c>
      <c r="X958" s="6"/>
      <c r="Y958" s="6"/>
      <c r="Z958" s="6"/>
      <c r="AA958" s="6" t="s">
        <v>68</v>
      </c>
      <c r="AB958" s="8"/>
    </row>
    <row r="959" spans="1:28" s="4" customFormat="1" ht="42" customHeight="1">
      <c r="A959" s="5">
        <v>0</v>
      </c>
      <c r="B959" s="6" t="s">
        <v>5763</v>
      </c>
      <c r="C959" s="13">
        <v>924</v>
      </c>
      <c r="D959" s="8" t="s">
        <v>5764</v>
      </c>
      <c r="E959" s="8" t="s">
        <v>5765</v>
      </c>
      <c r="F959" s="8" t="s">
        <v>5766</v>
      </c>
      <c r="G959" s="6" t="s">
        <v>38</v>
      </c>
      <c r="H959" s="6" t="s">
        <v>99</v>
      </c>
      <c r="I959" s="8"/>
      <c r="J959" s="9">
        <v>1</v>
      </c>
      <c r="K959" s="9">
        <v>160</v>
      </c>
      <c r="L959" s="9">
        <v>2024</v>
      </c>
      <c r="M959" s="8" t="s">
        <v>5767</v>
      </c>
      <c r="N959" s="8" t="s">
        <v>42</v>
      </c>
      <c r="O959" s="8" t="s">
        <v>101</v>
      </c>
      <c r="P959" s="6" t="s">
        <v>44</v>
      </c>
      <c r="Q959" s="8" t="s">
        <v>45</v>
      </c>
      <c r="R959" s="10" t="s">
        <v>564</v>
      </c>
      <c r="S959" s="11"/>
      <c r="T959" s="6"/>
      <c r="U959" s="24" t="str">
        <f>HYPERLINK("https://media.infra-m.ru/2129/2129531/cover/2129531.jpg", "Обложка")</f>
        <v>Обложка</v>
      </c>
      <c r="V959" s="24" t="str">
        <f>HYPERLINK("https://znanium.ru/catalog/product/2129531", "Ознакомиться")</f>
        <v>Ознакомиться</v>
      </c>
      <c r="W959" s="8" t="s">
        <v>574</v>
      </c>
      <c r="X959" s="6"/>
      <c r="Y959" s="6"/>
      <c r="Z959" s="6"/>
      <c r="AA959" s="6" t="s">
        <v>48</v>
      </c>
      <c r="AB959" s="8"/>
    </row>
    <row r="960" spans="1:28" s="4" customFormat="1" ht="42" customHeight="1">
      <c r="A960" s="5">
        <v>0</v>
      </c>
      <c r="B960" s="6" t="s">
        <v>5768</v>
      </c>
      <c r="C960" s="7">
        <v>2104.8000000000002</v>
      </c>
      <c r="D960" s="8" t="s">
        <v>5769</v>
      </c>
      <c r="E960" s="8" t="s">
        <v>5770</v>
      </c>
      <c r="F960" s="8" t="s">
        <v>5771</v>
      </c>
      <c r="G960" s="6" t="s">
        <v>132</v>
      </c>
      <c r="H960" s="6" t="s">
        <v>39</v>
      </c>
      <c r="I960" s="8" t="s">
        <v>3186</v>
      </c>
      <c r="J960" s="9">
        <v>1</v>
      </c>
      <c r="K960" s="9">
        <v>350</v>
      </c>
      <c r="L960" s="9">
        <v>2025</v>
      </c>
      <c r="M960" s="8" t="s">
        <v>5772</v>
      </c>
      <c r="N960" s="8" t="s">
        <v>42</v>
      </c>
      <c r="O960" s="8" t="s">
        <v>101</v>
      </c>
      <c r="P960" s="6" t="s">
        <v>44</v>
      </c>
      <c r="Q960" s="8" t="s">
        <v>45</v>
      </c>
      <c r="R960" s="10" t="s">
        <v>564</v>
      </c>
      <c r="S960" s="11"/>
      <c r="T960" s="6"/>
      <c r="U960" s="24" t="str">
        <f>HYPERLINK("https://media.infra-m.ru/2172/2172248/cover/2172248.jpg", "Обложка")</f>
        <v>Обложка</v>
      </c>
      <c r="V960" s="24" t="str">
        <f>HYPERLINK("https://znanium.ru/catalog/product/1843592", "Ознакомиться")</f>
        <v>Ознакомиться</v>
      </c>
      <c r="W960" s="8" t="s">
        <v>803</v>
      </c>
      <c r="X960" s="6"/>
      <c r="Y960" s="6"/>
      <c r="Z960" s="6"/>
      <c r="AA960" s="6" t="s">
        <v>48</v>
      </c>
      <c r="AB960" s="8"/>
    </row>
    <row r="961" spans="1:28" s="4" customFormat="1" ht="44.1" customHeight="1">
      <c r="A961" s="5">
        <v>0</v>
      </c>
      <c r="B961" s="6" t="s">
        <v>5773</v>
      </c>
      <c r="C961" s="7">
        <v>1732.8</v>
      </c>
      <c r="D961" s="8" t="s">
        <v>5774</v>
      </c>
      <c r="E961" s="8" t="s">
        <v>5775</v>
      </c>
      <c r="F961" s="8" t="s">
        <v>5776</v>
      </c>
      <c r="G961" s="6" t="s">
        <v>38</v>
      </c>
      <c r="H961" s="6" t="s">
        <v>39</v>
      </c>
      <c r="I961" s="8" t="s">
        <v>40</v>
      </c>
      <c r="J961" s="9">
        <v>1</v>
      </c>
      <c r="K961" s="9">
        <v>312</v>
      </c>
      <c r="L961" s="9">
        <v>2023</v>
      </c>
      <c r="M961" s="8" t="s">
        <v>5777</v>
      </c>
      <c r="N961" s="8" t="s">
        <v>42</v>
      </c>
      <c r="O961" s="8" t="s">
        <v>189</v>
      </c>
      <c r="P961" s="6" t="s">
        <v>44</v>
      </c>
      <c r="Q961" s="8" t="s">
        <v>45</v>
      </c>
      <c r="R961" s="10" t="s">
        <v>1843</v>
      </c>
      <c r="S961" s="11"/>
      <c r="T961" s="6"/>
      <c r="U961" s="24" t="str">
        <f>HYPERLINK("https://media.infra-m.ru/2063/2063396/cover/2063396.jpg", "Обложка")</f>
        <v>Обложка</v>
      </c>
      <c r="V961" s="24" t="str">
        <f>HYPERLINK("https://znanium.ru/catalog/product/1739240", "Ознакомиться")</f>
        <v>Ознакомиться</v>
      </c>
      <c r="W961" s="8" t="s">
        <v>1837</v>
      </c>
      <c r="X961" s="6"/>
      <c r="Y961" s="6"/>
      <c r="Z961" s="6"/>
      <c r="AA961" s="6" t="s">
        <v>48</v>
      </c>
      <c r="AB961" s="8"/>
    </row>
    <row r="962" spans="1:28" s="4" customFormat="1" ht="51.95" customHeight="1">
      <c r="A962" s="5">
        <v>0</v>
      </c>
      <c r="B962" s="6" t="s">
        <v>5778</v>
      </c>
      <c r="C962" s="7">
        <v>1360.8</v>
      </c>
      <c r="D962" s="8" t="s">
        <v>5779</v>
      </c>
      <c r="E962" s="8" t="s">
        <v>5780</v>
      </c>
      <c r="F962" s="8" t="s">
        <v>5781</v>
      </c>
      <c r="G962" s="6" t="s">
        <v>38</v>
      </c>
      <c r="H962" s="6" t="s">
        <v>39</v>
      </c>
      <c r="I962" s="8" t="s">
        <v>40</v>
      </c>
      <c r="J962" s="9">
        <v>1</v>
      </c>
      <c r="K962" s="9">
        <v>249</v>
      </c>
      <c r="L962" s="9">
        <v>2023</v>
      </c>
      <c r="M962" s="8" t="s">
        <v>5782</v>
      </c>
      <c r="N962" s="8" t="s">
        <v>42</v>
      </c>
      <c r="O962" s="8" t="s">
        <v>101</v>
      </c>
      <c r="P962" s="6" t="s">
        <v>44</v>
      </c>
      <c r="Q962" s="8" t="s">
        <v>45</v>
      </c>
      <c r="R962" s="10" t="s">
        <v>5783</v>
      </c>
      <c r="S962" s="11"/>
      <c r="T962" s="6"/>
      <c r="U962" s="24" t="str">
        <f>HYPERLINK("https://media.infra-m.ru/2006/2006938/cover/2006938.jpg", "Обложка")</f>
        <v>Обложка</v>
      </c>
      <c r="V962" s="24" t="str">
        <f>HYPERLINK("https://znanium.ru/catalog/product/1002633", "Ознакомиться")</f>
        <v>Ознакомиться</v>
      </c>
      <c r="W962" s="8" t="s">
        <v>167</v>
      </c>
      <c r="X962" s="6"/>
      <c r="Y962" s="6"/>
      <c r="Z962" s="6"/>
      <c r="AA962" s="6" t="s">
        <v>68</v>
      </c>
      <c r="AB962" s="8"/>
    </row>
    <row r="963" spans="1:28" s="4" customFormat="1" ht="44.1" customHeight="1">
      <c r="A963" s="5">
        <v>0</v>
      </c>
      <c r="B963" s="6" t="s">
        <v>5784</v>
      </c>
      <c r="C963" s="7">
        <v>3564</v>
      </c>
      <c r="D963" s="8" t="s">
        <v>5785</v>
      </c>
      <c r="E963" s="8" t="s">
        <v>5786</v>
      </c>
      <c r="F963" s="8" t="s">
        <v>5787</v>
      </c>
      <c r="G963" s="6" t="s">
        <v>132</v>
      </c>
      <c r="H963" s="6" t="s">
        <v>99</v>
      </c>
      <c r="I963" s="8"/>
      <c r="J963" s="9">
        <v>1</v>
      </c>
      <c r="K963" s="9">
        <v>464</v>
      </c>
      <c r="L963" s="9">
        <v>2024</v>
      </c>
      <c r="M963" s="8" t="s">
        <v>5788</v>
      </c>
      <c r="N963" s="8" t="s">
        <v>42</v>
      </c>
      <c r="O963" s="8" t="s">
        <v>101</v>
      </c>
      <c r="P963" s="6" t="s">
        <v>580</v>
      </c>
      <c r="Q963" s="8"/>
      <c r="R963" s="10" t="s">
        <v>5789</v>
      </c>
      <c r="S963" s="11"/>
      <c r="T963" s="6"/>
      <c r="U963" s="24" t="str">
        <f>HYPERLINK("https://media.infra-m.ru/2164/2164042/cover/2164042.jpg", "Обложка")</f>
        <v>Обложка</v>
      </c>
      <c r="V963" s="24" t="str">
        <f>HYPERLINK("https://znanium.ru/catalog/product/2156764", "Ознакомиться")</f>
        <v>Ознакомиться</v>
      </c>
      <c r="W963" s="8"/>
      <c r="X963" s="6"/>
      <c r="Y963" s="6"/>
      <c r="Z963" s="6"/>
      <c r="AA963" s="6" t="s">
        <v>58</v>
      </c>
      <c r="AB963" s="8"/>
    </row>
    <row r="964" spans="1:28" s="4" customFormat="1" ht="44.1" customHeight="1">
      <c r="A964" s="5">
        <v>0</v>
      </c>
      <c r="B964" s="6" t="s">
        <v>5790</v>
      </c>
      <c r="C964" s="7">
        <v>1164</v>
      </c>
      <c r="D964" s="8" t="s">
        <v>5791</v>
      </c>
      <c r="E964" s="8" t="s">
        <v>5792</v>
      </c>
      <c r="F964" s="8" t="s">
        <v>5793</v>
      </c>
      <c r="G964" s="6" t="s">
        <v>38</v>
      </c>
      <c r="H964" s="6" t="s">
        <v>39</v>
      </c>
      <c r="I964" s="8" t="s">
        <v>40</v>
      </c>
      <c r="J964" s="9">
        <v>1</v>
      </c>
      <c r="K964" s="9">
        <v>179</v>
      </c>
      <c r="L964" s="9">
        <v>2025</v>
      </c>
      <c r="M964" s="8" t="s">
        <v>5794</v>
      </c>
      <c r="N964" s="8" t="s">
        <v>42</v>
      </c>
      <c r="O964" s="8" t="s">
        <v>101</v>
      </c>
      <c r="P964" s="6" t="s">
        <v>44</v>
      </c>
      <c r="Q964" s="8" t="s">
        <v>45</v>
      </c>
      <c r="R964" s="10" t="s">
        <v>5795</v>
      </c>
      <c r="S964" s="11"/>
      <c r="T964" s="6"/>
      <c r="U964" s="24" t="str">
        <f>HYPERLINK("https://media.infra-m.ru/2186/2186819/cover/2186819.jpg", "Обложка")</f>
        <v>Обложка</v>
      </c>
      <c r="V964" s="24" t="str">
        <f>HYPERLINK("https://znanium.ru/catalog/product/2186819", "Ознакомиться")</f>
        <v>Ознакомиться</v>
      </c>
      <c r="W964" s="8" t="s">
        <v>5796</v>
      </c>
      <c r="X964" s="6" t="s">
        <v>492</v>
      </c>
      <c r="Y964" s="6"/>
      <c r="Z964" s="6"/>
      <c r="AA964" s="6" t="s">
        <v>159</v>
      </c>
      <c r="AB964" s="8"/>
    </row>
    <row r="965" spans="1:28" s="4" customFormat="1" ht="44.1" customHeight="1">
      <c r="A965" s="5">
        <v>0</v>
      </c>
      <c r="B965" s="6" t="s">
        <v>5797</v>
      </c>
      <c r="C965" s="7">
        <v>1500</v>
      </c>
      <c r="D965" s="8" t="s">
        <v>5798</v>
      </c>
      <c r="E965" s="8" t="s">
        <v>5799</v>
      </c>
      <c r="F965" s="8" t="s">
        <v>5800</v>
      </c>
      <c r="G965" s="6" t="s">
        <v>132</v>
      </c>
      <c r="H965" s="6" t="s">
        <v>39</v>
      </c>
      <c r="I965" s="8" t="s">
        <v>164</v>
      </c>
      <c r="J965" s="9">
        <v>1</v>
      </c>
      <c r="K965" s="9">
        <v>266</v>
      </c>
      <c r="L965" s="9">
        <v>2023</v>
      </c>
      <c r="M965" s="8" t="s">
        <v>5801</v>
      </c>
      <c r="N965" s="8" t="s">
        <v>42</v>
      </c>
      <c r="O965" s="8" t="s">
        <v>1002</v>
      </c>
      <c r="P965" s="6" t="s">
        <v>44</v>
      </c>
      <c r="Q965" s="8" t="s">
        <v>45</v>
      </c>
      <c r="R965" s="10" t="s">
        <v>5802</v>
      </c>
      <c r="S965" s="11"/>
      <c r="T965" s="6"/>
      <c r="U965" s="24" t="str">
        <f>HYPERLINK("https://media.infra-m.ru/1895/1895951/cover/1895951.jpg", "Обложка")</f>
        <v>Обложка</v>
      </c>
      <c r="V965" s="24" t="str">
        <f>HYPERLINK("https://znanium.ru/catalog/product/1895951", "Ознакомиться")</f>
        <v>Ознакомиться</v>
      </c>
      <c r="W965" s="8" t="s">
        <v>167</v>
      </c>
      <c r="X965" s="6"/>
      <c r="Y965" s="6"/>
      <c r="Z965" s="6"/>
      <c r="AA965" s="6" t="s">
        <v>119</v>
      </c>
      <c r="AB965" s="8"/>
    </row>
    <row r="966" spans="1:28" s="4" customFormat="1" ht="42" customHeight="1">
      <c r="A966" s="5">
        <v>0</v>
      </c>
      <c r="B966" s="6" t="s">
        <v>5803</v>
      </c>
      <c r="C966" s="7">
        <v>1776</v>
      </c>
      <c r="D966" s="8" t="s">
        <v>5804</v>
      </c>
      <c r="E966" s="8" t="s">
        <v>5805</v>
      </c>
      <c r="F966" s="8" t="s">
        <v>5806</v>
      </c>
      <c r="G966" s="6" t="s">
        <v>38</v>
      </c>
      <c r="H966" s="6" t="s">
        <v>39</v>
      </c>
      <c r="I966" s="8" t="s">
        <v>40</v>
      </c>
      <c r="J966" s="9">
        <v>1</v>
      </c>
      <c r="K966" s="9">
        <v>306</v>
      </c>
      <c r="L966" s="9">
        <v>2023</v>
      </c>
      <c r="M966" s="8" t="s">
        <v>5807</v>
      </c>
      <c r="N966" s="8" t="s">
        <v>42</v>
      </c>
      <c r="O966" s="8" t="s">
        <v>246</v>
      </c>
      <c r="P966" s="6" t="s">
        <v>44</v>
      </c>
      <c r="Q966" s="8" t="s">
        <v>45</v>
      </c>
      <c r="R966" s="10" t="s">
        <v>1322</v>
      </c>
      <c r="S966" s="11"/>
      <c r="T966" s="6"/>
      <c r="U966" s="24" t="str">
        <f>HYPERLINK("https://media.infra-m.ru/1995/1995257/cover/1995257.jpg", "Обложка")</f>
        <v>Обложка</v>
      </c>
      <c r="V966" s="24" t="str">
        <f>HYPERLINK("https://znanium.ru/catalog/product/1995257", "Ознакомиться")</f>
        <v>Ознакомиться</v>
      </c>
      <c r="W966" s="8" t="s">
        <v>1049</v>
      </c>
      <c r="X966" s="6"/>
      <c r="Y966" s="6"/>
      <c r="Z966" s="6"/>
      <c r="AA966" s="6" t="s">
        <v>1363</v>
      </c>
      <c r="AB966" s="8"/>
    </row>
    <row r="967" spans="1:28" s="4" customFormat="1" ht="42" customHeight="1">
      <c r="A967" s="5">
        <v>0</v>
      </c>
      <c r="B967" s="6" t="s">
        <v>5808</v>
      </c>
      <c r="C967" s="7">
        <v>1320</v>
      </c>
      <c r="D967" s="8" t="s">
        <v>5809</v>
      </c>
      <c r="E967" s="8" t="s">
        <v>5810</v>
      </c>
      <c r="F967" s="8" t="s">
        <v>4354</v>
      </c>
      <c r="G967" s="6" t="s">
        <v>81</v>
      </c>
      <c r="H967" s="6" t="s">
        <v>39</v>
      </c>
      <c r="I967" s="8" t="s">
        <v>40</v>
      </c>
      <c r="J967" s="9">
        <v>1</v>
      </c>
      <c r="K967" s="9">
        <v>245</v>
      </c>
      <c r="L967" s="9">
        <v>2023</v>
      </c>
      <c r="M967" s="8" t="s">
        <v>5811</v>
      </c>
      <c r="N967" s="8" t="s">
        <v>42</v>
      </c>
      <c r="O967" s="8" t="s">
        <v>246</v>
      </c>
      <c r="P967" s="6" t="s">
        <v>44</v>
      </c>
      <c r="Q967" s="8" t="s">
        <v>45</v>
      </c>
      <c r="R967" s="10" t="s">
        <v>5812</v>
      </c>
      <c r="S967" s="11"/>
      <c r="T967" s="6"/>
      <c r="U967" s="24" t="str">
        <f>HYPERLINK("https://media.infra-m.ru/1898/1898120/cover/1898120.jpg", "Обложка")</f>
        <v>Обложка</v>
      </c>
      <c r="V967" s="24" t="str">
        <f>HYPERLINK("https://znanium.ru/catalog/product/1898120", "Ознакомиться")</f>
        <v>Ознакомиться</v>
      </c>
      <c r="W967" s="8" t="s">
        <v>3948</v>
      </c>
      <c r="X967" s="6"/>
      <c r="Y967" s="6"/>
      <c r="Z967" s="6"/>
      <c r="AA967" s="6" t="s">
        <v>339</v>
      </c>
      <c r="AB967" s="8"/>
    </row>
    <row r="968" spans="1:28" s="4" customFormat="1" ht="51.95" customHeight="1">
      <c r="A968" s="5">
        <v>0</v>
      </c>
      <c r="B968" s="6" t="s">
        <v>5813</v>
      </c>
      <c r="C968" s="7">
        <v>2220</v>
      </c>
      <c r="D968" s="8" t="s">
        <v>5814</v>
      </c>
      <c r="E968" s="8" t="s">
        <v>5815</v>
      </c>
      <c r="F968" s="8" t="s">
        <v>245</v>
      </c>
      <c r="G968" s="6" t="s">
        <v>38</v>
      </c>
      <c r="H968" s="6" t="s">
        <v>39</v>
      </c>
      <c r="I968" s="8" t="s">
        <v>40</v>
      </c>
      <c r="J968" s="9">
        <v>1</v>
      </c>
      <c r="K968" s="9">
        <v>392</v>
      </c>
      <c r="L968" s="9">
        <v>2024</v>
      </c>
      <c r="M968" s="8" t="s">
        <v>5816</v>
      </c>
      <c r="N968" s="8" t="s">
        <v>42</v>
      </c>
      <c r="O968" s="8" t="s">
        <v>246</v>
      </c>
      <c r="P968" s="6" t="s">
        <v>580</v>
      </c>
      <c r="Q968" s="8" t="s">
        <v>45</v>
      </c>
      <c r="R968" s="10" t="s">
        <v>5817</v>
      </c>
      <c r="S968" s="11"/>
      <c r="T968" s="6"/>
      <c r="U968" s="24" t="str">
        <f>HYPERLINK("https://media.infra-m.ru/2125/2125045/cover/2125045.jpg", "Обложка")</f>
        <v>Обложка</v>
      </c>
      <c r="V968" s="24" t="str">
        <f>HYPERLINK("https://znanium.ru/catalog/product/2125045", "Ознакомиться")</f>
        <v>Ознакомиться</v>
      </c>
      <c r="W968" s="8" t="s">
        <v>1049</v>
      </c>
      <c r="X968" s="6"/>
      <c r="Y968" s="6"/>
      <c r="Z968" s="6"/>
      <c r="AA968" s="6" t="s">
        <v>58</v>
      </c>
      <c r="AB968" s="8"/>
    </row>
    <row r="969" spans="1:28" s="4" customFormat="1" ht="51.95" customHeight="1">
      <c r="A969" s="5">
        <v>0</v>
      </c>
      <c r="B969" s="6" t="s">
        <v>5818</v>
      </c>
      <c r="C969" s="13">
        <v>977.9</v>
      </c>
      <c r="D969" s="8" t="s">
        <v>5819</v>
      </c>
      <c r="E969" s="8" t="s">
        <v>5820</v>
      </c>
      <c r="F969" s="8" t="s">
        <v>5821</v>
      </c>
      <c r="G969" s="6" t="s">
        <v>38</v>
      </c>
      <c r="H969" s="6" t="s">
        <v>39</v>
      </c>
      <c r="I969" s="8" t="s">
        <v>40</v>
      </c>
      <c r="J969" s="9">
        <v>1</v>
      </c>
      <c r="K969" s="9">
        <v>263</v>
      </c>
      <c r="L969" s="9">
        <v>2018</v>
      </c>
      <c r="M969" s="8" t="s">
        <v>5822</v>
      </c>
      <c r="N969" s="8" t="s">
        <v>42</v>
      </c>
      <c r="O969" s="8" t="s">
        <v>246</v>
      </c>
      <c r="P969" s="6" t="s">
        <v>44</v>
      </c>
      <c r="Q969" s="8" t="s">
        <v>45</v>
      </c>
      <c r="R969" s="10" t="s">
        <v>5823</v>
      </c>
      <c r="S969" s="11"/>
      <c r="T969" s="6"/>
      <c r="U969" s="24" t="str">
        <f>HYPERLINK("https://media.infra-m.ru/0944/0944406/cover/944406.jpg", "Обложка")</f>
        <v>Обложка</v>
      </c>
      <c r="V969" s="24" t="str">
        <f>HYPERLINK("https://znanium.ru/catalog/product/944406", "Ознакомиться")</f>
        <v>Ознакомиться</v>
      </c>
      <c r="W969" s="8" t="s">
        <v>1049</v>
      </c>
      <c r="X969" s="6"/>
      <c r="Y969" s="6"/>
      <c r="Z969" s="6"/>
      <c r="AA969" s="6" t="s">
        <v>127</v>
      </c>
      <c r="AB969" s="8"/>
    </row>
    <row r="970" spans="1:28" s="4" customFormat="1" ht="44.1" customHeight="1">
      <c r="A970" s="5">
        <v>0</v>
      </c>
      <c r="B970" s="6" t="s">
        <v>5824</v>
      </c>
      <c r="C970" s="7">
        <v>1780.8</v>
      </c>
      <c r="D970" s="8" t="s">
        <v>5825</v>
      </c>
      <c r="E970" s="8" t="s">
        <v>5826</v>
      </c>
      <c r="F970" s="8" t="s">
        <v>245</v>
      </c>
      <c r="G970" s="6" t="s">
        <v>38</v>
      </c>
      <c r="H970" s="6" t="s">
        <v>39</v>
      </c>
      <c r="I970" s="8" t="s">
        <v>40</v>
      </c>
      <c r="J970" s="9">
        <v>1</v>
      </c>
      <c r="K970" s="9">
        <v>323</v>
      </c>
      <c r="L970" s="9">
        <v>2024</v>
      </c>
      <c r="M970" s="8" t="s">
        <v>5827</v>
      </c>
      <c r="N970" s="8" t="s">
        <v>42</v>
      </c>
      <c r="O970" s="8" t="s">
        <v>246</v>
      </c>
      <c r="P970" s="6" t="s">
        <v>44</v>
      </c>
      <c r="Q970" s="8" t="s">
        <v>45</v>
      </c>
      <c r="R970" s="10" t="s">
        <v>5828</v>
      </c>
      <c r="S970" s="11"/>
      <c r="T970" s="6"/>
      <c r="U970" s="24" t="str">
        <f>HYPERLINK("https://media.infra-m.ru/2125/2125077/cover/2125077.jpg", "Обложка")</f>
        <v>Обложка</v>
      </c>
      <c r="V970" s="24" t="str">
        <f>HYPERLINK("https://znanium.ru/catalog/product/1186675", "Ознакомиться")</f>
        <v>Ознакомиться</v>
      </c>
      <c r="W970" s="8" t="s">
        <v>1049</v>
      </c>
      <c r="X970" s="6"/>
      <c r="Y970" s="6"/>
      <c r="Z970" s="6"/>
      <c r="AA970" s="6" t="s">
        <v>199</v>
      </c>
      <c r="AB970" s="8"/>
    </row>
    <row r="971" spans="1:28" s="4" customFormat="1" ht="42" customHeight="1">
      <c r="A971" s="5">
        <v>0</v>
      </c>
      <c r="B971" s="6" t="s">
        <v>5829</v>
      </c>
      <c r="C971" s="7">
        <v>1936.8</v>
      </c>
      <c r="D971" s="8" t="s">
        <v>5830</v>
      </c>
      <c r="E971" s="8" t="s">
        <v>5831</v>
      </c>
      <c r="F971" s="8" t="s">
        <v>245</v>
      </c>
      <c r="G971" s="6" t="s">
        <v>38</v>
      </c>
      <c r="H971" s="6" t="s">
        <v>39</v>
      </c>
      <c r="I971" s="8" t="s">
        <v>40</v>
      </c>
      <c r="J971" s="9">
        <v>1</v>
      </c>
      <c r="K971" s="9">
        <v>357</v>
      </c>
      <c r="L971" s="9">
        <v>2023</v>
      </c>
      <c r="M971" s="8" t="s">
        <v>5832</v>
      </c>
      <c r="N971" s="8" t="s">
        <v>42</v>
      </c>
      <c r="O971" s="8" t="s">
        <v>246</v>
      </c>
      <c r="P971" s="6" t="s">
        <v>44</v>
      </c>
      <c r="Q971" s="8" t="s">
        <v>45</v>
      </c>
      <c r="R971" s="10" t="s">
        <v>5833</v>
      </c>
      <c r="S971" s="11"/>
      <c r="T971" s="6"/>
      <c r="U971" s="24" t="str">
        <f>HYPERLINK("https://media.infra-m.ru/2006/2006910/cover/2006910.jpg", "Обложка")</f>
        <v>Обложка</v>
      </c>
      <c r="V971" s="24" t="str">
        <f>HYPERLINK("https://znanium.ru/catalog/product/944194", "Ознакомиться")</f>
        <v>Ознакомиться</v>
      </c>
      <c r="W971" s="8" t="s">
        <v>1049</v>
      </c>
      <c r="X971" s="6"/>
      <c r="Y971" s="6"/>
      <c r="Z971" s="6"/>
      <c r="AA971" s="6" t="s">
        <v>68</v>
      </c>
      <c r="AB971" s="8"/>
    </row>
    <row r="972" spans="1:28" s="4" customFormat="1" ht="51.95" customHeight="1">
      <c r="A972" s="5">
        <v>0</v>
      </c>
      <c r="B972" s="6" t="s">
        <v>5834</v>
      </c>
      <c r="C972" s="7">
        <v>1528.8</v>
      </c>
      <c r="D972" s="8" t="s">
        <v>5835</v>
      </c>
      <c r="E972" s="8" t="s">
        <v>5836</v>
      </c>
      <c r="F972" s="8" t="s">
        <v>5821</v>
      </c>
      <c r="G972" s="6" t="s">
        <v>38</v>
      </c>
      <c r="H972" s="6" t="s">
        <v>39</v>
      </c>
      <c r="I972" s="8" t="s">
        <v>40</v>
      </c>
      <c r="J972" s="9">
        <v>1</v>
      </c>
      <c r="K972" s="9">
        <v>277</v>
      </c>
      <c r="L972" s="9">
        <v>2024</v>
      </c>
      <c r="M972" s="8" t="s">
        <v>5837</v>
      </c>
      <c r="N972" s="8" t="s">
        <v>42</v>
      </c>
      <c r="O972" s="8" t="s">
        <v>246</v>
      </c>
      <c r="P972" s="6" t="s">
        <v>44</v>
      </c>
      <c r="Q972" s="8" t="s">
        <v>45</v>
      </c>
      <c r="R972" s="10" t="s">
        <v>5838</v>
      </c>
      <c r="S972" s="11"/>
      <c r="T972" s="6"/>
      <c r="U972" s="24" t="str">
        <f>HYPERLINK("https://media.infra-m.ru/2125/2125081/cover/2125081.jpg", "Обложка")</f>
        <v>Обложка</v>
      </c>
      <c r="V972" s="24" t="str">
        <f>HYPERLINK("https://znanium.ru/catalog/product/2125081", "Ознакомиться")</f>
        <v>Ознакомиться</v>
      </c>
      <c r="W972" s="8" t="s">
        <v>1049</v>
      </c>
      <c r="X972" s="6"/>
      <c r="Y972" s="6"/>
      <c r="Z972" s="6"/>
      <c r="AA972" s="6" t="s">
        <v>127</v>
      </c>
      <c r="AB972" s="8"/>
    </row>
    <row r="973" spans="1:28" s="4" customFormat="1" ht="42" customHeight="1">
      <c r="A973" s="5">
        <v>0</v>
      </c>
      <c r="B973" s="6" t="s">
        <v>5839</v>
      </c>
      <c r="C973" s="7">
        <v>2236.8000000000002</v>
      </c>
      <c r="D973" s="8" t="s">
        <v>5840</v>
      </c>
      <c r="E973" s="8" t="s">
        <v>5841</v>
      </c>
      <c r="F973" s="8" t="s">
        <v>5821</v>
      </c>
      <c r="G973" s="6" t="s">
        <v>38</v>
      </c>
      <c r="H973" s="6" t="s">
        <v>39</v>
      </c>
      <c r="I973" s="8" t="s">
        <v>40</v>
      </c>
      <c r="J973" s="9">
        <v>1</v>
      </c>
      <c r="K973" s="9">
        <v>359</v>
      </c>
      <c r="L973" s="9">
        <v>2024</v>
      </c>
      <c r="M973" s="8" t="s">
        <v>5842</v>
      </c>
      <c r="N973" s="8" t="s">
        <v>42</v>
      </c>
      <c r="O973" s="8" t="s">
        <v>246</v>
      </c>
      <c r="P973" s="6" t="s">
        <v>44</v>
      </c>
      <c r="Q973" s="8" t="s">
        <v>45</v>
      </c>
      <c r="R973" s="10" t="s">
        <v>5843</v>
      </c>
      <c r="S973" s="11"/>
      <c r="T973" s="6"/>
      <c r="U973" s="24" t="str">
        <f>HYPERLINK("https://media.infra-m.ru/2125/2125082/cover/2125082.jpg", "Обложка")</f>
        <v>Обложка</v>
      </c>
      <c r="V973" s="24" t="str">
        <f>HYPERLINK("https://znanium.ru/catalog/product/1039352", "Ознакомиться")</f>
        <v>Ознакомиться</v>
      </c>
      <c r="W973" s="8" t="s">
        <v>1049</v>
      </c>
      <c r="X973" s="6"/>
      <c r="Y973" s="6"/>
      <c r="Z973" s="6"/>
      <c r="AA973" s="6" t="s">
        <v>127</v>
      </c>
      <c r="AB973" s="8"/>
    </row>
    <row r="974" spans="1:28" s="4" customFormat="1" ht="44.1" customHeight="1">
      <c r="A974" s="5">
        <v>0</v>
      </c>
      <c r="B974" s="6" t="s">
        <v>5844</v>
      </c>
      <c r="C974" s="7">
        <v>1493.9</v>
      </c>
      <c r="D974" s="8" t="s">
        <v>5845</v>
      </c>
      <c r="E974" s="8" t="s">
        <v>5846</v>
      </c>
      <c r="F974" s="8" t="s">
        <v>5821</v>
      </c>
      <c r="G974" s="6" t="s">
        <v>38</v>
      </c>
      <c r="H974" s="6" t="s">
        <v>39</v>
      </c>
      <c r="I974" s="8" t="s">
        <v>40</v>
      </c>
      <c r="J974" s="9">
        <v>1</v>
      </c>
      <c r="K974" s="9">
        <v>319</v>
      </c>
      <c r="L974" s="9">
        <v>2022</v>
      </c>
      <c r="M974" s="8" t="s">
        <v>5847</v>
      </c>
      <c r="N974" s="8" t="s">
        <v>42</v>
      </c>
      <c r="O974" s="8" t="s">
        <v>246</v>
      </c>
      <c r="P974" s="6" t="s">
        <v>44</v>
      </c>
      <c r="Q974" s="8" t="s">
        <v>45</v>
      </c>
      <c r="R974" s="10" t="s">
        <v>5848</v>
      </c>
      <c r="S974" s="11"/>
      <c r="T974" s="6"/>
      <c r="U974" s="24" t="str">
        <f>HYPERLINK("https://media.infra-m.ru/1851/1851538/cover/1851538.jpg", "Обложка")</f>
        <v>Обложка</v>
      </c>
      <c r="V974" s="24" t="str">
        <f>HYPERLINK("https://znanium.ru/catalog/product/960030", "Ознакомиться")</f>
        <v>Ознакомиться</v>
      </c>
      <c r="W974" s="8" t="s">
        <v>1049</v>
      </c>
      <c r="X974" s="6"/>
      <c r="Y974" s="6"/>
      <c r="Z974" s="6"/>
      <c r="AA974" s="6" t="s">
        <v>290</v>
      </c>
      <c r="AB974" s="8"/>
    </row>
    <row r="975" spans="1:28" s="4" customFormat="1" ht="51.95" customHeight="1">
      <c r="A975" s="5">
        <v>0</v>
      </c>
      <c r="B975" s="6" t="s">
        <v>5849</v>
      </c>
      <c r="C975" s="13">
        <v>972</v>
      </c>
      <c r="D975" s="8" t="s">
        <v>5850</v>
      </c>
      <c r="E975" s="8" t="s">
        <v>5851</v>
      </c>
      <c r="F975" s="8" t="s">
        <v>5852</v>
      </c>
      <c r="G975" s="6" t="s">
        <v>38</v>
      </c>
      <c r="H975" s="6" t="s">
        <v>39</v>
      </c>
      <c r="I975" s="8" t="s">
        <v>5161</v>
      </c>
      <c r="J975" s="9">
        <v>1</v>
      </c>
      <c r="K975" s="9">
        <v>176</v>
      </c>
      <c r="L975" s="9">
        <v>2024</v>
      </c>
      <c r="M975" s="8" t="s">
        <v>5853</v>
      </c>
      <c r="N975" s="8" t="s">
        <v>42</v>
      </c>
      <c r="O975" s="8" t="s">
        <v>246</v>
      </c>
      <c r="P975" s="6" t="s">
        <v>659</v>
      </c>
      <c r="Q975" s="8" t="s">
        <v>45</v>
      </c>
      <c r="R975" s="10" t="s">
        <v>5854</v>
      </c>
      <c r="S975" s="11"/>
      <c r="T975" s="6"/>
      <c r="U975" s="24" t="str">
        <f>HYPERLINK("https://media.infra-m.ru/2106/2106645/cover/2106645.jpg", "Обложка")</f>
        <v>Обложка</v>
      </c>
      <c r="V975" s="24" t="str">
        <f>HYPERLINK("https://znanium.ru/catalog/product/2106645", "Ознакомиться")</f>
        <v>Ознакомиться</v>
      </c>
      <c r="W975" s="8" t="s">
        <v>626</v>
      </c>
      <c r="X975" s="6"/>
      <c r="Y975" s="6"/>
      <c r="Z975" s="6"/>
      <c r="AA975" s="6" t="s">
        <v>1530</v>
      </c>
      <c r="AB975" s="8"/>
    </row>
    <row r="976" spans="1:28" s="4" customFormat="1" ht="44.1" customHeight="1">
      <c r="A976" s="5">
        <v>0</v>
      </c>
      <c r="B976" s="6" t="s">
        <v>5855</v>
      </c>
      <c r="C976" s="7">
        <v>2616</v>
      </c>
      <c r="D976" s="8" t="s">
        <v>5856</v>
      </c>
      <c r="E976" s="8" t="s">
        <v>5857</v>
      </c>
      <c r="F976" s="8" t="s">
        <v>5858</v>
      </c>
      <c r="G976" s="6" t="s">
        <v>132</v>
      </c>
      <c r="H976" s="6" t="s">
        <v>39</v>
      </c>
      <c r="I976" s="8" t="s">
        <v>237</v>
      </c>
      <c r="J976" s="9">
        <v>1</v>
      </c>
      <c r="K976" s="9">
        <v>474</v>
      </c>
      <c r="L976" s="9">
        <v>2024</v>
      </c>
      <c r="M976" s="8" t="s">
        <v>5859</v>
      </c>
      <c r="N976" s="8" t="s">
        <v>42</v>
      </c>
      <c r="O976" s="8" t="s">
        <v>246</v>
      </c>
      <c r="P976" s="6" t="s">
        <v>239</v>
      </c>
      <c r="Q976" s="8" t="s">
        <v>287</v>
      </c>
      <c r="R976" s="10" t="s">
        <v>1036</v>
      </c>
      <c r="S976" s="11"/>
      <c r="T976" s="6"/>
      <c r="U976" s="24" t="str">
        <f>HYPERLINK("https://media.infra-m.ru/2106/2106649/cover/2106649.jpg", "Обложка")</f>
        <v>Обложка</v>
      </c>
      <c r="V976" s="24" t="str">
        <f>HYPERLINK("https://znanium.ru/catalog/product/2106649", "Ознакомиться")</f>
        <v>Ознакомиться</v>
      </c>
      <c r="W976" s="8" t="s">
        <v>2872</v>
      </c>
      <c r="X976" s="6"/>
      <c r="Y976" s="6"/>
      <c r="Z976" s="6"/>
      <c r="AA976" s="6" t="s">
        <v>369</v>
      </c>
      <c r="AB976" s="8"/>
    </row>
    <row r="977" spans="1:28" s="4" customFormat="1" ht="51.95" customHeight="1">
      <c r="A977" s="5">
        <v>0</v>
      </c>
      <c r="B977" s="6" t="s">
        <v>5860</v>
      </c>
      <c r="C977" s="7">
        <v>1000.8</v>
      </c>
      <c r="D977" s="8" t="s">
        <v>5861</v>
      </c>
      <c r="E977" s="8" t="s">
        <v>5862</v>
      </c>
      <c r="F977" s="8" t="s">
        <v>5863</v>
      </c>
      <c r="G977" s="6" t="s">
        <v>38</v>
      </c>
      <c r="H977" s="6" t="s">
        <v>1019</v>
      </c>
      <c r="I977" s="8" t="s">
        <v>1020</v>
      </c>
      <c r="J977" s="9">
        <v>1</v>
      </c>
      <c r="K977" s="9">
        <v>160</v>
      </c>
      <c r="L977" s="9">
        <v>2026</v>
      </c>
      <c r="M977" s="8" t="s">
        <v>5864</v>
      </c>
      <c r="N977" s="8" t="s">
        <v>54</v>
      </c>
      <c r="O977" s="8" t="s">
        <v>117</v>
      </c>
      <c r="P977" s="6" t="s">
        <v>44</v>
      </c>
      <c r="Q977" s="8" t="s">
        <v>45</v>
      </c>
      <c r="R977" s="10" t="s">
        <v>5865</v>
      </c>
      <c r="S977" s="11"/>
      <c r="T977" s="6"/>
      <c r="U977" s="24" t="str">
        <f>HYPERLINK("https://media.infra-m.ru/2216/2216833/cover/2216833.jpg", "Обложка")</f>
        <v>Обложка</v>
      </c>
      <c r="V977" s="24" t="str">
        <f>HYPERLINK("https://znanium.ru/catalog/product/2215350", "Ознакомиться")</f>
        <v>Ознакомиться</v>
      </c>
      <c r="W977" s="8" t="s">
        <v>4165</v>
      </c>
      <c r="X977" s="6"/>
      <c r="Y977" s="6"/>
      <c r="Z977" s="6"/>
      <c r="AA977" s="6" t="s">
        <v>369</v>
      </c>
      <c r="AB977" s="8"/>
    </row>
    <row r="978" spans="1:28" s="4" customFormat="1" ht="51.95" customHeight="1">
      <c r="A978" s="5">
        <v>0</v>
      </c>
      <c r="B978" s="6" t="s">
        <v>5866</v>
      </c>
      <c r="C978" s="13">
        <v>940.8</v>
      </c>
      <c r="D978" s="8" t="s">
        <v>5867</v>
      </c>
      <c r="E978" s="8" t="s">
        <v>5868</v>
      </c>
      <c r="F978" s="8" t="s">
        <v>5869</v>
      </c>
      <c r="G978" s="6" t="s">
        <v>38</v>
      </c>
      <c r="H978" s="6" t="s">
        <v>39</v>
      </c>
      <c r="I978" s="8" t="s">
        <v>40</v>
      </c>
      <c r="J978" s="9">
        <v>1</v>
      </c>
      <c r="K978" s="9">
        <v>150</v>
      </c>
      <c r="L978" s="9">
        <v>2025</v>
      </c>
      <c r="M978" s="8" t="s">
        <v>5870</v>
      </c>
      <c r="N978" s="8" t="s">
        <v>54</v>
      </c>
      <c r="O978" s="8" t="s">
        <v>91</v>
      </c>
      <c r="P978" s="6" t="s">
        <v>44</v>
      </c>
      <c r="Q978" s="8" t="s">
        <v>45</v>
      </c>
      <c r="R978" s="10" t="s">
        <v>5871</v>
      </c>
      <c r="S978" s="11"/>
      <c r="T978" s="6"/>
      <c r="U978" s="24" t="str">
        <f>HYPERLINK("https://media.infra-m.ru/2200/2200101/cover/2200101.jpg", "Обложка")</f>
        <v>Обложка</v>
      </c>
      <c r="V978" s="24" t="str">
        <f>HYPERLINK("https://znanium.ru/catalog/product/2161728", "Ознакомиться")</f>
        <v>Ознакомиться</v>
      </c>
      <c r="W978" s="8" t="s">
        <v>2131</v>
      </c>
      <c r="X978" s="6"/>
      <c r="Y978" s="6"/>
      <c r="Z978" s="6"/>
      <c r="AA978" s="6" t="s">
        <v>68</v>
      </c>
      <c r="AB978" s="8"/>
    </row>
    <row r="979" spans="1:28" s="4" customFormat="1" ht="42" customHeight="1">
      <c r="A979" s="5">
        <v>0</v>
      </c>
      <c r="B979" s="6" t="s">
        <v>5872</v>
      </c>
      <c r="C979" s="7">
        <v>1252.8</v>
      </c>
      <c r="D979" s="8" t="s">
        <v>5873</v>
      </c>
      <c r="E979" s="8" t="s">
        <v>5874</v>
      </c>
      <c r="F979" s="8" t="s">
        <v>5875</v>
      </c>
      <c r="G979" s="6" t="s">
        <v>38</v>
      </c>
      <c r="H979" s="6" t="s">
        <v>182</v>
      </c>
      <c r="I979" s="8" t="s">
        <v>40</v>
      </c>
      <c r="J979" s="9">
        <v>1</v>
      </c>
      <c r="K979" s="9">
        <v>231</v>
      </c>
      <c r="L979" s="9">
        <v>2023</v>
      </c>
      <c r="M979" s="8" t="s">
        <v>5876</v>
      </c>
      <c r="N979" s="8" t="s">
        <v>42</v>
      </c>
      <c r="O979" s="8" t="s">
        <v>101</v>
      </c>
      <c r="P979" s="6" t="s">
        <v>44</v>
      </c>
      <c r="Q979" s="8" t="s">
        <v>45</v>
      </c>
      <c r="R979" s="10" t="s">
        <v>564</v>
      </c>
      <c r="S979" s="11"/>
      <c r="T979" s="6"/>
      <c r="U979" s="24" t="str">
        <f>HYPERLINK("https://media.infra-m.ru/1911/1911111/cover/1911111.jpg", "Обложка")</f>
        <v>Обложка</v>
      </c>
      <c r="V979" s="24" t="str">
        <f>HYPERLINK("https://znanium.ru/catalog/product/549742", "Ознакомиться")</f>
        <v>Ознакомиться</v>
      </c>
      <c r="W979" s="8" t="s">
        <v>686</v>
      </c>
      <c r="X979" s="6"/>
      <c r="Y979" s="6"/>
      <c r="Z979" s="6"/>
      <c r="AA979" s="6" t="s">
        <v>1494</v>
      </c>
      <c r="AB979" s="8"/>
    </row>
    <row r="980" spans="1:28" s="4" customFormat="1" ht="42" customHeight="1">
      <c r="A980" s="5">
        <v>0</v>
      </c>
      <c r="B980" s="6" t="s">
        <v>5877</v>
      </c>
      <c r="C980" s="13">
        <v>977.9</v>
      </c>
      <c r="D980" s="8" t="s">
        <v>5878</v>
      </c>
      <c r="E980" s="8" t="s">
        <v>5879</v>
      </c>
      <c r="F980" s="8" t="s">
        <v>5875</v>
      </c>
      <c r="G980" s="6" t="s">
        <v>38</v>
      </c>
      <c r="H980" s="6" t="s">
        <v>182</v>
      </c>
      <c r="I980" s="8" t="s">
        <v>40</v>
      </c>
      <c r="J980" s="9">
        <v>1</v>
      </c>
      <c r="K980" s="9">
        <v>231</v>
      </c>
      <c r="L980" s="9">
        <v>2020</v>
      </c>
      <c r="M980" s="8" t="s">
        <v>5876</v>
      </c>
      <c r="N980" s="8" t="s">
        <v>42</v>
      </c>
      <c r="O980" s="8" t="s">
        <v>101</v>
      </c>
      <c r="P980" s="6" t="s">
        <v>44</v>
      </c>
      <c r="Q980" s="8" t="s">
        <v>45</v>
      </c>
      <c r="R980" s="10" t="s">
        <v>564</v>
      </c>
      <c r="S980" s="11"/>
      <c r="T980" s="6"/>
      <c r="U980" s="24" t="str">
        <f>HYPERLINK("https://media.infra-m.ru/1081/1081381/cover/1081381.jpg", "Обложка")</f>
        <v>Обложка</v>
      </c>
      <c r="V980" s="24" t="str">
        <f>HYPERLINK("https://znanium.ru/catalog/product/549742", "Ознакомиться")</f>
        <v>Ознакомиться</v>
      </c>
      <c r="W980" s="8" t="s">
        <v>686</v>
      </c>
      <c r="X980" s="6"/>
      <c r="Y980" s="6"/>
      <c r="Z980" s="6"/>
      <c r="AA980" s="6" t="s">
        <v>290</v>
      </c>
      <c r="AB980" s="8"/>
    </row>
    <row r="981" spans="1:28" s="4" customFormat="1" ht="42" customHeight="1">
      <c r="A981" s="5">
        <v>0</v>
      </c>
      <c r="B981" s="6" t="s">
        <v>5880</v>
      </c>
      <c r="C981" s="13">
        <v>472.8</v>
      </c>
      <c r="D981" s="8" t="s">
        <v>5881</v>
      </c>
      <c r="E981" s="8" t="s">
        <v>5882</v>
      </c>
      <c r="F981" s="8" t="s">
        <v>5883</v>
      </c>
      <c r="G981" s="6" t="s">
        <v>38</v>
      </c>
      <c r="H981" s="6" t="s">
        <v>99</v>
      </c>
      <c r="I981" s="8"/>
      <c r="J981" s="9">
        <v>1</v>
      </c>
      <c r="K981" s="9">
        <v>80</v>
      </c>
      <c r="L981" s="9">
        <v>2024</v>
      </c>
      <c r="M981" s="8" t="s">
        <v>5884</v>
      </c>
      <c r="N981" s="8" t="s">
        <v>42</v>
      </c>
      <c r="O981" s="8" t="s">
        <v>246</v>
      </c>
      <c r="P981" s="6" t="s">
        <v>44</v>
      </c>
      <c r="Q981" s="8" t="s">
        <v>45</v>
      </c>
      <c r="R981" s="10" t="s">
        <v>5885</v>
      </c>
      <c r="S981" s="11"/>
      <c r="T981" s="6"/>
      <c r="U981" s="24" t="str">
        <f>HYPERLINK("https://media.infra-m.ru/2133/2133520/cover/2133520.jpg", "Обложка")</f>
        <v>Обложка</v>
      </c>
      <c r="V981" s="24" t="str">
        <f>HYPERLINK("https://znanium.ru/catalog/product/1043390", "Ознакомиться")</f>
        <v>Ознакомиться</v>
      </c>
      <c r="W981" s="8" t="s">
        <v>565</v>
      </c>
      <c r="X981" s="6"/>
      <c r="Y981" s="6"/>
      <c r="Z981" s="6"/>
      <c r="AA981" s="6" t="s">
        <v>369</v>
      </c>
      <c r="AB981" s="8"/>
    </row>
    <row r="982" spans="1:28" s="4" customFormat="1" ht="44.1" customHeight="1">
      <c r="A982" s="5">
        <v>0</v>
      </c>
      <c r="B982" s="6" t="s">
        <v>5886</v>
      </c>
      <c r="C982" s="7">
        <v>1500</v>
      </c>
      <c r="D982" s="8" t="s">
        <v>5887</v>
      </c>
      <c r="E982" s="8" t="s">
        <v>5888</v>
      </c>
      <c r="F982" s="8" t="s">
        <v>5889</v>
      </c>
      <c r="G982" s="6" t="s">
        <v>132</v>
      </c>
      <c r="H982" s="6" t="s">
        <v>39</v>
      </c>
      <c r="I982" s="8" t="s">
        <v>40</v>
      </c>
      <c r="J982" s="9">
        <v>1</v>
      </c>
      <c r="K982" s="9">
        <v>220</v>
      </c>
      <c r="L982" s="9">
        <v>2026</v>
      </c>
      <c r="M982" s="8" t="s">
        <v>5890</v>
      </c>
      <c r="N982" s="8" t="s">
        <v>42</v>
      </c>
      <c r="O982" s="8" t="s">
        <v>101</v>
      </c>
      <c r="P982" s="6" t="s">
        <v>44</v>
      </c>
      <c r="Q982" s="8" t="s">
        <v>45</v>
      </c>
      <c r="R982" s="10" t="s">
        <v>2956</v>
      </c>
      <c r="S982" s="11"/>
      <c r="T982" s="6"/>
      <c r="U982" s="24" t="str">
        <f>HYPERLINK("https://media.infra-m.ru/2188/2188099/cover/2188099.jpg", "Обложка")</f>
        <v>Обложка</v>
      </c>
      <c r="V982" s="24" t="str">
        <f>HYPERLINK("https://znanium.ru/catalog/product/2188099", "Ознакомиться")</f>
        <v>Ознакомиться</v>
      </c>
      <c r="W982" s="8" t="s">
        <v>3564</v>
      </c>
      <c r="X982" s="6" t="s">
        <v>450</v>
      </c>
      <c r="Y982" s="6"/>
      <c r="Z982" s="6"/>
      <c r="AA982" s="6" t="s">
        <v>833</v>
      </c>
      <c r="AB982" s="8"/>
    </row>
    <row r="983" spans="1:28" s="4" customFormat="1" ht="51.95" customHeight="1">
      <c r="A983" s="5">
        <v>0</v>
      </c>
      <c r="B983" s="6" t="s">
        <v>5891</v>
      </c>
      <c r="C983" s="7">
        <v>3232.8</v>
      </c>
      <c r="D983" s="8" t="s">
        <v>5892</v>
      </c>
      <c r="E983" s="8" t="s">
        <v>5893</v>
      </c>
      <c r="F983" s="8" t="s">
        <v>5315</v>
      </c>
      <c r="G983" s="6" t="s">
        <v>132</v>
      </c>
      <c r="H983" s="6" t="s">
        <v>99</v>
      </c>
      <c r="I983" s="8"/>
      <c r="J983" s="9">
        <v>1</v>
      </c>
      <c r="K983" s="9">
        <v>736</v>
      </c>
      <c r="L983" s="9">
        <v>2026</v>
      </c>
      <c r="M983" s="8" t="s">
        <v>5894</v>
      </c>
      <c r="N983" s="8" t="s">
        <v>42</v>
      </c>
      <c r="O983" s="8" t="s">
        <v>101</v>
      </c>
      <c r="P983" s="6" t="s">
        <v>44</v>
      </c>
      <c r="Q983" s="8" t="s">
        <v>45</v>
      </c>
      <c r="R983" s="10" t="s">
        <v>5214</v>
      </c>
      <c r="S983" s="11"/>
      <c r="T983" s="6"/>
      <c r="U983" s="24" t="str">
        <f>HYPERLINK("https://media.infra-m.ru/2225/2225677/cover/2225677.jpg", "Обложка")</f>
        <v>Обложка</v>
      </c>
      <c r="V983" s="24" t="str">
        <f>HYPERLINK("https://znanium.ru/catalog/product/1200660", "Ознакомиться")</f>
        <v>Ознакомиться</v>
      </c>
      <c r="W983" s="8" t="s">
        <v>361</v>
      </c>
      <c r="X983" s="6"/>
      <c r="Y983" s="6"/>
      <c r="Z983" s="6"/>
      <c r="AA983" s="6" t="s">
        <v>48</v>
      </c>
      <c r="AB983" s="8"/>
    </row>
    <row r="984" spans="1:28" s="4" customFormat="1" ht="51.95" customHeight="1">
      <c r="A984" s="5">
        <v>0</v>
      </c>
      <c r="B984" s="6" t="s">
        <v>5895</v>
      </c>
      <c r="C984" s="7">
        <v>1944</v>
      </c>
      <c r="D984" s="8" t="s">
        <v>5896</v>
      </c>
      <c r="E984" s="8" t="s">
        <v>5897</v>
      </c>
      <c r="F984" s="8" t="s">
        <v>4477</v>
      </c>
      <c r="G984" s="6" t="s">
        <v>38</v>
      </c>
      <c r="H984" s="6" t="s">
        <v>39</v>
      </c>
      <c r="I984" s="8" t="s">
        <v>40</v>
      </c>
      <c r="J984" s="9">
        <v>1</v>
      </c>
      <c r="K984" s="9">
        <v>310</v>
      </c>
      <c r="L984" s="9">
        <v>2025</v>
      </c>
      <c r="M984" s="8" t="s">
        <v>5898</v>
      </c>
      <c r="N984" s="8" t="s">
        <v>284</v>
      </c>
      <c r="O984" s="8" t="s">
        <v>717</v>
      </c>
      <c r="P984" s="6" t="s">
        <v>44</v>
      </c>
      <c r="Q984" s="8" t="s">
        <v>45</v>
      </c>
      <c r="R984" s="10" t="s">
        <v>718</v>
      </c>
      <c r="S984" s="11"/>
      <c r="T984" s="6"/>
      <c r="U984" s="24" t="str">
        <f>HYPERLINK("https://media.infra-m.ru/2208/2208742/cover/2208742.jpg", "Обложка")</f>
        <v>Обложка</v>
      </c>
      <c r="V984" s="24" t="str">
        <f>HYPERLINK("https://znanium.ru/catalog/product/2208742", "Ознакомиться")</f>
        <v>Ознакомиться</v>
      </c>
      <c r="W984" s="8" t="s">
        <v>3137</v>
      </c>
      <c r="X984" s="6"/>
      <c r="Y984" s="6"/>
      <c r="Z984" s="6"/>
      <c r="AA984" s="6" t="s">
        <v>369</v>
      </c>
      <c r="AB984" s="8"/>
    </row>
    <row r="985" spans="1:28" s="4" customFormat="1" ht="42" customHeight="1">
      <c r="A985" s="5">
        <v>0</v>
      </c>
      <c r="B985" s="6" t="s">
        <v>5899</v>
      </c>
      <c r="C985" s="7">
        <v>3096</v>
      </c>
      <c r="D985" s="8" t="s">
        <v>5900</v>
      </c>
      <c r="E985" s="8" t="s">
        <v>5901</v>
      </c>
      <c r="F985" s="8" t="s">
        <v>5902</v>
      </c>
      <c r="G985" s="6" t="s">
        <v>132</v>
      </c>
      <c r="H985" s="6" t="s">
        <v>39</v>
      </c>
      <c r="I985" s="8" t="s">
        <v>40</v>
      </c>
      <c r="J985" s="9">
        <v>1</v>
      </c>
      <c r="K985" s="9">
        <v>468</v>
      </c>
      <c r="L985" s="9">
        <v>2026</v>
      </c>
      <c r="M985" s="8" t="s">
        <v>5903</v>
      </c>
      <c r="N985" s="8" t="s">
        <v>284</v>
      </c>
      <c r="O985" s="8" t="s">
        <v>285</v>
      </c>
      <c r="P985" s="6" t="s">
        <v>44</v>
      </c>
      <c r="Q985" s="8" t="s">
        <v>45</v>
      </c>
      <c r="R985" s="10" t="s">
        <v>5904</v>
      </c>
      <c r="S985" s="11"/>
      <c r="T985" s="6"/>
      <c r="U985" s="24" t="str">
        <f>HYPERLINK("https://media.infra-m.ru/2226/2226463/cover/2226463.jpg", "Обложка")</f>
        <v>Обложка</v>
      </c>
      <c r="V985" s="24" t="str">
        <f>HYPERLINK("https://znanium.ru/catalog/product/2226463", "Ознакомиться")</f>
        <v>Ознакомиться</v>
      </c>
      <c r="W985" s="8" t="s">
        <v>314</v>
      </c>
      <c r="X985" s="6"/>
      <c r="Y985" s="6"/>
      <c r="Z985" s="6"/>
      <c r="AA985" s="6" t="s">
        <v>94</v>
      </c>
      <c r="AB985" s="8"/>
    </row>
    <row r="986" spans="1:28" s="4" customFormat="1" ht="51.95" customHeight="1">
      <c r="A986" s="5">
        <v>0</v>
      </c>
      <c r="B986" s="6" t="s">
        <v>5905</v>
      </c>
      <c r="C986" s="7">
        <v>1728</v>
      </c>
      <c r="D986" s="8" t="s">
        <v>5906</v>
      </c>
      <c r="E986" s="8" t="s">
        <v>5907</v>
      </c>
      <c r="F986" s="8" t="s">
        <v>5908</v>
      </c>
      <c r="G986" s="6" t="s">
        <v>38</v>
      </c>
      <c r="H986" s="6" t="s">
        <v>39</v>
      </c>
      <c r="I986" s="8" t="s">
        <v>40</v>
      </c>
      <c r="J986" s="9">
        <v>1</v>
      </c>
      <c r="K986" s="9">
        <v>312</v>
      </c>
      <c r="L986" s="9">
        <v>2023</v>
      </c>
      <c r="M986" s="8" t="s">
        <v>5909</v>
      </c>
      <c r="N986" s="8" t="s">
        <v>54</v>
      </c>
      <c r="O986" s="8" t="s">
        <v>91</v>
      </c>
      <c r="P986" s="6" t="s">
        <v>44</v>
      </c>
      <c r="Q986" s="8" t="s">
        <v>45</v>
      </c>
      <c r="R986" s="10" t="s">
        <v>5910</v>
      </c>
      <c r="S986" s="11"/>
      <c r="T986" s="6"/>
      <c r="U986" s="24" t="str">
        <f>HYPERLINK("https://media.infra-m.ru/2019/2019753/cover/2019753.jpg", "Обложка")</f>
        <v>Обложка</v>
      </c>
      <c r="V986" s="24" t="str">
        <f>HYPERLINK("https://znanium.ru/catalog/product/2019753", "Ознакомиться")</f>
        <v>Ознакомиться</v>
      </c>
      <c r="W986" s="8" t="s">
        <v>305</v>
      </c>
      <c r="X986" s="6"/>
      <c r="Y986" s="6"/>
      <c r="Z986" s="6"/>
      <c r="AA986" s="6" t="s">
        <v>1530</v>
      </c>
      <c r="AB986" s="8"/>
    </row>
    <row r="987" spans="1:28" s="4" customFormat="1" ht="42" customHeight="1">
      <c r="A987" s="5">
        <v>0</v>
      </c>
      <c r="B987" s="6" t="s">
        <v>5911</v>
      </c>
      <c r="C987" s="13">
        <v>864</v>
      </c>
      <c r="D987" s="8" t="s">
        <v>5912</v>
      </c>
      <c r="E987" s="8" t="s">
        <v>5913</v>
      </c>
      <c r="F987" s="8" t="s">
        <v>5914</v>
      </c>
      <c r="G987" s="6" t="s">
        <v>38</v>
      </c>
      <c r="H987" s="6" t="s">
        <v>39</v>
      </c>
      <c r="I987" s="8" t="s">
        <v>40</v>
      </c>
      <c r="J987" s="9">
        <v>1</v>
      </c>
      <c r="K987" s="9">
        <v>186</v>
      </c>
      <c r="L987" s="9">
        <v>2021</v>
      </c>
      <c r="M987" s="8" t="s">
        <v>5915</v>
      </c>
      <c r="N987" s="8" t="s">
        <v>54</v>
      </c>
      <c r="O987" s="8" t="s">
        <v>91</v>
      </c>
      <c r="P987" s="6" t="s">
        <v>44</v>
      </c>
      <c r="Q987" s="8" t="s">
        <v>45</v>
      </c>
      <c r="R987" s="10" t="s">
        <v>197</v>
      </c>
      <c r="S987" s="11"/>
      <c r="T987" s="6"/>
      <c r="U987" s="24" t="str">
        <f>HYPERLINK("https://media.infra-m.ru/1074/1074129/cover/1074129.jpg", "Обложка")</f>
        <v>Обложка</v>
      </c>
      <c r="V987" s="24" t="str">
        <f>HYPERLINK("https://znanium.ru/catalog/product/1074129", "Ознакомиться")</f>
        <v>Ознакомиться</v>
      </c>
      <c r="W987" s="8" t="s">
        <v>3715</v>
      </c>
      <c r="X987" s="6"/>
      <c r="Y987" s="6"/>
      <c r="Z987" s="6"/>
      <c r="AA987" s="6" t="s">
        <v>199</v>
      </c>
      <c r="AB987" s="8"/>
    </row>
    <row r="988" spans="1:28" s="4" customFormat="1" ht="44.1" customHeight="1">
      <c r="A988" s="5">
        <v>0</v>
      </c>
      <c r="B988" s="6" t="s">
        <v>5916</v>
      </c>
      <c r="C988" s="13">
        <v>984</v>
      </c>
      <c r="D988" s="8" t="s">
        <v>5917</v>
      </c>
      <c r="E988" s="8" t="s">
        <v>5918</v>
      </c>
      <c r="F988" s="8" t="s">
        <v>5919</v>
      </c>
      <c r="G988" s="6" t="s">
        <v>38</v>
      </c>
      <c r="H988" s="6" t="s">
        <v>39</v>
      </c>
      <c r="I988" s="8" t="s">
        <v>40</v>
      </c>
      <c r="J988" s="9">
        <v>1</v>
      </c>
      <c r="K988" s="9">
        <v>182</v>
      </c>
      <c r="L988" s="9">
        <v>2022</v>
      </c>
      <c r="M988" s="8" t="s">
        <v>5920</v>
      </c>
      <c r="N988" s="8" t="s">
        <v>54</v>
      </c>
      <c r="O988" s="8" t="s">
        <v>55</v>
      </c>
      <c r="P988" s="6" t="s">
        <v>44</v>
      </c>
      <c r="Q988" s="8" t="s">
        <v>45</v>
      </c>
      <c r="R988" s="10" t="s">
        <v>5921</v>
      </c>
      <c r="S988" s="11"/>
      <c r="T988" s="6"/>
      <c r="U988" s="24" t="str">
        <f>HYPERLINK("https://media.infra-m.ru/1858/1858259/cover/1858259.jpg", "Обложка")</f>
        <v>Обложка</v>
      </c>
      <c r="V988" s="24" t="str">
        <f>HYPERLINK("https://znanium.ru/catalog/product/1858259", "Ознакомиться")</f>
        <v>Ознакомиться</v>
      </c>
      <c r="W988" s="8" t="s">
        <v>1711</v>
      </c>
      <c r="X988" s="6"/>
      <c r="Y988" s="6"/>
      <c r="Z988" s="6"/>
      <c r="AA988" s="6" t="s">
        <v>111</v>
      </c>
      <c r="AB988" s="8"/>
    </row>
    <row r="989" spans="1:28" s="4" customFormat="1" ht="42" customHeight="1">
      <c r="A989" s="5">
        <v>0</v>
      </c>
      <c r="B989" s="6" t="s">
        <v>5922</v>
      </c>
      <c r="C989" s="7">
        <v>2184</v>
      </c>
      <c r="D989" s="8" t="s">
        <v>5923</v>
      </c>
      <c r="E989" s="8" t="s">
        <v>5924</v>
      </c>
      <c r="F989" s="8" t="s">
        <v>5925</v>
      </c>
      <c r="G989" s="6" t="s">
        <v>38</v>
      </c>
      <c r="H989" s="6" t="s">
        <v>39</v>
      </c>
      <c r="I989" s="8" t="s">
        <v>40</v>
      </c>
      <c r="J989" s="9">
        <v>1</v>
      </c>
      <c r="K989" s="9">
        <v>396</v>
      </c>
      <c r="L989" s="9">
        <v>2024</v>
      </c>
      <c r="M989" s="8" t="s">
        <v>5926</v>
      </c>
      <c r="N989" s="8" t="s">
        <v>284</v>
      </c>
      <c r="O989" s="8" t="s">
        <v>383</v>
      </c>
      <c r="P989" s="6" t="s">
        <v>44</v>
      </c>
      <c r="Q989" s="8" t="s">
        <v>45</v>
      </c>
      <c r="R989" s="10" t="s">
        <v>5927</v>
      </c>
      <c r="S989" s="11"/>
      <c r="T989" s="6"/>
      <c r="U989" s="24" t="str">
        <f>HYPERLINK("https://media.infra-m.ru/2124/2124915/cover/2124915.jpg", "Обложка")</f>
        <v>Обложка</v>
      </c>
      <c r="V989" s="24" t="str">
        <f>HYPERLINK("https://znanium.ru/catalog/product/2124915", "Ознакомиться")</f>
        <v>Ознакомиться</v>
      </c>
      <c r="W989" s="8" t="s">
        <v>5928</v>
      </c>
      <c r="X989" s="6"/>
      <c r="Y989" s="6"/>
      <c r="Z989" s="6"/>
      <c r="AA989" s="6" t="s">
        <v>339</v>
      </c>
      <c r="AB989" s="8"/>
    </row>
    <row r="990" spans="1:28" s="4" customFormat="1" ht="42" customHeight="1">
      <c r="A990" s="5">
        <v>0</v>
      </c>
      <c r="B990" s="6" t="s">
        <v>5929</v>
      </c>
      <c r="C990" s="7">
        <v>1428</v>
      </c>
      <c r="D990" s="8" t="s">
        <v>5930</v>
      </c>
      <c r="E990" s="8" t="s">
        <v>5931</v>
      </c>
      <c r="F990" s="8" t="s">
        <v>5932</v>
      </c>
      <c r="G990" s="6" t="s">
        <v>38</v>
      </c>
      <c r="H990" s="6" t="s">
        <v>39</v>
      </c>
      <c r="I990" s="8" t="s">
        <v>40</v>
      </c>
      <c r="J990" s="9">
        <v>1</v>
      </c>
      <c r="K990" s="9">
        <v>239</v>
      </c>
      <c r="L990" s="9">
        <v>2024</v>
      </c>
      <c r="M990" s="8" t="s">
        <v>5933</v>
      </c>
      <c r="N990" s="8" t="s">
        <v>42</v>
      </c>
      <c r="O990" s="8" t="s">
        <v>189</v>
      </c>
      <c r="P990" s="6" t="s">
        <v>44</v>
      </c>
      <c r="Q990" s="8" t="s">
        <v>45</v>
      </c>
      <c r="R990" s="10" t="s">
        <v>1419</v>
      </c>
      <c r="S990" s="11"/>
      <c r="T990" s="6"/>
      <c r="U990" s="24" t="str">
        <f>HYPERLINK("https://media.infra-m.ru/2134/2134242/cover/2134242.jpg", "Обложка")</f>
        <v>Обложка</v>
      </c>
      <c r="V990" s="24" t="str">
        <f>HYPERLINK("https://znanium.ru/catalog/product/2134242", "Ознакомиться")</f>
        <v>Ознакомиться</v>
      </c>
      <c r="W990" s="8" t="s">
        <v>3948</v>
      </c>
      <c r="X990" s="6"/>
      <c r="Y990" s="6"/>
      <c r="Z990" s="6"/>
      <c r="AA990" s="6" t="s">
        <v>58</v>
      </c>
      <c r="AB990" s="8"/>
    </row>
    <row r="991" spans="1:28" s="4" customFormat="1" ht="51.95" customHeight="1">
      <c r="A991" s="5">
        <v>0</v>
      </c>
      <c r="B991" s="6" t="s">
        <v>5934</v>
      </c>
      <c r="C991" s="13">
        <v>720</v>
      </c>
      <c r="D991" s="8" t="s">
        <v>5935</v>
      </c>
      <c r="E991" s="8" t="s">
        <v>5936</v>
      </c>
      <c r="F991" s="8" t="s">
        <v>5937</v>
      </c>
      <c r="G991" s="6" t="s">
        <v>38</v>
      </c>
      <c r="H991" s="6" t="s">
        <v>39</v>
      </c>
      <c r="I991" s="8" t="s">
        <v>40</v>
      </c>
      <c r="J991" s="9">
        <v>1</v>
      </c>
      <c r="K991" s="9">
        <v>120</v>
      </c>
      <c r="L991" s="9">
        <v>2024</v>
      </c>
      <c r="M991" s="8" t="s">
        <v>5938</v>
      </c>
      <c r="N991" s="8" t="s">
        <v>42</v>
      </c>
      <c r="O991" s="8" t="s">
        <v>189</v>
      </c>
      <c r="P991" s="6" t="s">
        <v>44</v>
      </c>
      <c r="Q991" s="8" t="s">
        <v>45</v>
      </c>
      <c r="R991" s="10" t="s">
        <v>5939</v>
      </c>
      <c r="S991" s="11"/>
      <c r="T991" s="6"/>
      <c r="U991" s="24" t="str">
        <f>HYPERLINK("https://media.infra-m.ru/2157/2157175/cover/2157175.jpg", "Обложка")</f>
        <v>Обложка</v>
      </c>
      <c r="V991" s="24" t="str">
        <f>HYPERLINK("https://znanium.ru/catalog/product/1015205", "Ознакомиться")</f>
        <v>Ознакомиться</v>
      </c>
      <c r="W991" s="8" t="s">
        <v>732</v>
      </c>
      <c r="X991" s="6"/>
      <c r="Y991" s="6"/>
      <c r="Z991" s="6"/>
      <c r="AA991" s="6" t="s">
        <v>377</v>
      </c>
      <c r="AB991" s="8"/>
    </row>
    <row r="992" spans="1:28" s="4" customFormat="1" ht="42" customHeight="1">
      <c r="A992" s="5">
        <v>0</v>
      </c>
      <c r="B992" s="6" t="s">
        <v>5940</v>
      </c>
      <c r="C992" s="7">
        <v>1248</v>
      </c>
      <c r="D992" s="8" t="s">
        <v>5941</v>
      </c>
      <c r="E992" s="8" t="s">
        <v>5942</v>
      </c>
      <c r="F992" s="8" t="s">
        <v>5943</v>
      </c>
      <c r="G992" s="6" t="s">
        <v>38</v>
      </c>
      <c r="H992" s="6" t="s">
        <v>39</v>
      </c>
      <c r="I992" s="8" t="s">
        <v>40</v>
      </c>
      <c r="J992" s="9">
        <v>1</v>
      </c>
      <c r="K992" s="9">
        <v>231</v>
      </c>
      <c r="L992" s="9">
        <v>2023</v>
      </c>
      <c r="M992" s="8" t="s">
        <v>5944</v>
      </c>
      <c r="N992" s="8" t="s">
        <v>42</v>
      </c>
      <c r="O992" s="8" t="s">
        <v>189</v>
      </c>
      <c r="P992" s="6" t="s">
        <v>44</v>
      </c>
      <c r="Q992" s="8" t="s">
        <v>45</v>
      </c>
      <c r="R992" s="10" t="s">
        <v>1854</v>
      </c>
      <c r="S992" s="11"/>
      <c r="T992" s="6" t="s">
        <v>1080</v>
      </c>
      <c r="U992" s="24" t="str">
        <f>HYPERLINK("https://media.infra-m.ru/1980/1980012/cover/1980012.jpg", "Обложка")</f>
        <v>Обложка</v>
      </c>
      <c r="V992" s="24" t="str">
        <f>HYPERLINK("https://znanium.ru/catalog/product/1980012", "Ознакомиться")</f>
        <v>Ознакомиться</v>
      </c>
      <c r="W992" s="8" t="s">
        <v>1594</v>
      </c>
      <c r="X992" s="6"/>
      <c r="Y992" s="6"/>
      <c r="Z992" s="6"/>
      <c r="AA992" s="6" t="s">
        <v>377</v>
      </c>
      <c r="AB992" s="8"/>
    </row>
    <row r="993" spans="1:28" s="4" customFormat="1" ht="51.95" customHeight="1">
      <c r="A993" s="5">
        <v>0</v>
      </c>
      <c r="B993" s="6" t="s">
        <v>5945</v>
      </c>
      <c r="C993" s="13">
        <v>484.8</v>
      </c>
      <c r="D993" s="8" t="s">
        <v>5946</v>
      </c>
      <c r="E993" s="8" t="s">
        <v>5947</v>
      </c>
      <c r="F993" s="8" t="s">
        <v>5948</v>
      </c>
      <c r="G993" s="6" t="s">
        <v>38</v>
      </c>
      <c r="H993" s="6" t="s">
        <v>39</v>
      </c>
      <c r="I993" s="8" t="s">
        <v>40</v>
      </c>
      <c r="J993" s="9">
        <v>1</v>
      </c>
      <c r="K993" s="9">
        <v>88</v>
      </c>
      <c r="L993" s="9">
        <v>2024</v>
      </c>
      <c r="M993" s="8" t="s">
        <v>5949</v>
      </c>
      <c r="N993" s="8" t="s">
        <v>284</v>
      </c>
      <c r="O993" s="8" t="s">
        <v>383</v>
      </c>
      <c r="P993" s="6" t="s">
        <v>44</v>
      </c>
      <c r="Q993" s="8" t="s">
        <v>45</v>
      </c>
      <c r="R993" s="10" t="s">
        <v>5950</v>
      </c>
      <c r="S993" s="11"/>
      <c r="T993" s="6"/>
      <c r="U993" s="24" t="str">
        <f>HYPERLINK("https://media.infra-m.ru/2103/2103133/cover/2103133.jpg", "Обложка")</f>
        <v>Обложка</v>
      </c>
      <c r="V993" s="24" t="str">
        <f>HYPERLINK("https://znanium.ru/catalog/product/1514896", "Ознакомиться")</f>
        <v>Ознакомиться</v>
      </c>
      <c r="W993" s="8" t="s">
        <v>1087</v>
      </c>
      <c r="X993" s="6"/>
      <c r="Y993" s="6"/>
      <c r="Z993" s="6"/>
      <c r="AA993" s="6" t="s">
        <v>127</v>
      </c>
      <c r="AB993" s="8"/>
    </row>
    <row r="994" spans="1:28" s="4" customFormat="1" ht="51.95" customHeight="1">
      <c r="A994" s="5">
        <v>0</v>
      </c>
      <c r="B994" s="6" t="s">
        <v>5951</v>
      </c>
      <c r="C994" s="7">
        <v>1272</v>
      </c>
      <c r="D994" s="8" t="s">
        <v>5952</v>
      </c>
      <c r="E994" s="8" t="s">
        <v>5953</v>
      </c>
      <c r="F994" s="8" t="s">
        <v>5954</v>
      </c>
      <c r="G994" s="6" t="s">
        <v>38</v>
      </c>
      <c r="H994" s="6" t="s">
        <v>99</v>
      </c>
      <c r="I994" s="8"/>
      <c r="J994" s="9">
        <v>1</v>
      </c>
      <c r="K994" s="9">
        <v>224</v>
      </c>
      <c r="L994" s="9">
        <v>2024</v>
      </c>
      <c r="M994" s="8" t="s">
        <v>5955</v>
      </c>
      <c r="N994" s="8" t="s">
        <v>42</v>
      </c>
      <c r="O994" s="8" t="s">
        <v>101</v>
      </c>
      <c r="P994" s="6" t="s">
        <v>44</v>
      </c>
      <c r="Q994" s="8" t="s">
        <v>45</v>
      </c>
      <c r="R994" s="10" t="s">
        <v>680</v>
      </c>
      <c r="S994" s="11"/>
      <c r="T994" s="6"/>
      <c r="U994" s="24" t="str">
        <f>HYPERLINK("https://media.infra-m.ru/2132/2132533/cover/2132533.jpg", "Обложка")</f>
        <v>Обложка</v>
      </c>
      <c r="V994" s="24" t="str">
        <f>HYPERLINK("https://znanium.ru/catalog/product/2132533", "Ознакомиться")</f>
        <v>Ознакомиться</v>
      </c>
      <c r="W994" s="8" t="s">
        <v>346</v>
      </c>
      <c r="X994" s="6"/>
      <c r="Y994" s="6"/>
      <c r="Z994" s="6"/>
      <c r="AA994" s="6" t="s">
        <v>1556</v>
      </c>
      <c r="AB994" s="8"/>
    </row>
    <row r="995" spans="1:28" s="4" customFormat="1" ht="42" customHeight="1">
      <c r="A995" s="5">
        <v>0</v>
      </c>
      <c r="B995" s="6" t="s">
        <v>5956</v>
      </c>
      <c r="C995" s="13">
        <v>876</v>
      </c>
      <c r="D995" s="8" t="s">
        <v>5957</v>
      </c>
      <c r="E995" s="8" t="s">
        <v>5958</v>
      </c>
      <c r="F995" s="8" t="s">
        <v>5959</v>
      </c>
      <c r="G995" s="6" t="s">
        <v>38</v>
      </c>
      <c r="H995" s="6" t="s">
        <v>39</v>
      </c>
      <c r="I995" s="8" t="s">
        <v>40</v>
      </c>
      <c r="J995" s="9">
        <v>1</v>
      </c>
      <c r="K995" s="9">
        <v>159</v>
      </c>
      <c r="L995" s="9">
        <v>2024</v>
      </c>
      <c r="M995" s="8" t="s">
        <v>5960</v>
      </c>
      <c r="N995" s="8" t="s">
        <v>42</v>
      </c>
      <c r="O995" s="8" t="s">
        <v>189</v>
      </c>
      <c r="P995" s="6" t="s">
        <v>44</v>
      </c>
      <c r="Q995" s="8" t="s">
        <v>45</v>
      </c>
      <c r="R995" s="10" t="s">
        <v>1028</v>
      </c>
      <c r="S995" s="11"/>
      <c r="T995" s="6"/>
      <c r="U995" s="24" t="str">
        <f>HYPERLINK("https://media.infra-m.ru/2053/2053192/cover/2053192.jpg", "Обложка")</f>
        <v>Обложка</v>
      </c>
      <c r="V995" s="24" t="str">
        <f>HYPERLINK("https://znanium.ru/catalog/product/2053192", "Ознакомиться")</f>
        <v>Ознакомиться</v>
      </c>
      <c r="W995" s="8" t="s">
        <v>5109</v>
      </c>
      <c r="X995" s="6"/>
      <c r="Y995" s="6"/>
      <c r="Z995" s="6"/>
      <c r="AA995" s="6" t="s">
        <v>369</v>
      </c>
      <c r="AB995" s="8"/>
    </row>
    <row r="996" spans="1:28" s="4" customFormat="1" ht="51.95" customHeight="1">
      <c r="A996" s="5">
        <v>0</v>
      </c>
      <c r="B996" s="6" t="s">
        <v>5961</v>
      </c>
      <c r="C996" s="7">
        <v>1908</v>
      </c>
      <c r="D996" s="8" t="s">
        <v>5962</v>
      </c>
      <c r="E996" s="8" t="s">
        <v>5963</v>
      </c>
      <c r="F996" s="8" t="s">
        <v>5964</v>
      </c>
      <c r="G996" s="6" t="s">
        <v>38</v>
      </c>
      <c r="H996" s="6" t="s">
        <v>39</v>
      </c>
      <c r="I996" s="8" t="s">
        <v>40</v>
      </c>
      <c r="J996" s="9">
        <v>1</v>
      </c>
      <c r="K996" s="9">
        <v>334</v>
      </c>
      <c r="L996" s="9">
        <v>2023</v>
      </c>
      <c r="M996" s="8" t="s">
        <v>5965</v>
      </c>
      <c r="N996" s="8" t="s">
        <v>42</v>
      </c>
      <c r="O996" s="8" t="s">
        <v>189</v>
      </c>
      <c r="P996" s="6" t="s">
        <v>44</v>
      </c>
      <c r="Q996" s="8" t="s">
        <v>45</v>
      </c>
      <c r="R996" s="10" t="s">
        <v>5966</v>
      </c>
      <c r="S996" s="11"/>
      <c r="T996" s="6"/>
      <c r="U996" s="24" t="str">
        <f>HYPERLINK("https://media.infra-m.ru/1907/1907644/cover/1907644.jpg", "Обложка")</f>
        <v>Обложка</v>
      </c>
      <c r="V996" s="24" t="str">
        <f>HYPERLINK("https://znanium.ru/catalog/product/1907644", "Ознакомиться")</f>
        <v>Ознакомиться</v>
      </c>
      <c r="W996" s="8" t="s">
        <v>5967</v>
      </c>
      <c r="X996" s="6"/>
      <c r="Y996" s="6"/>
      <c r="Z996" s="6"/>
      <c r="AA996" s="6" t="s">
        <v>119</v>
      </c>
      <c r="AB996" s="8"/>
    </row>
    <row r="997" spans="1:28" s="4" customFormat="1" ht="42" customHeight="1">
      <c r="A997" s="5">
        <v>0</v>
      </c>
      <c r="B997" s="6" t="s">
        <v>5968</v>
      </c>
      <c r="C997" s="13">
        <v>648</v>
      </c>
      <c r="D997" s="8" t="s">
        <v>5969</v>
      </c>
      <c r="E997" s="8" t="s">
        <v>5970</v>
      </c>
      <c r="F997" s="8" t="s">
        <v>5971</v>
      </c>
      <c r="G997" s="6" t="s">
        <v>38</v>
      </c>
      <c r="H997" s="6" t="s">
        <v>39</v>
      </c>
      <c r="I997" s="8" t="s">
        <v>40</v>
      </c>
      <c r="J997" s="9">
        <v>1</v>
      </c>
      <c r="K997" s="9">
        <v>128</v>
      </c>
      <c r="L997" s="9">
        <v>2022</v>
      </c>
      <c r="M997" s="8" t="s">
        <v>5972</v>
      </c>
      <c r="N997" s="8" t="s">
        <v>284</v>
      </c>
      <c r="O997" s="8" t="s">
        <v>312</v>
      </c>
      <c r="P997" s="6" t="s">
        <v>44</v>
      </c>
      <c r="Q997" s="8" t="s">
        <v>45</v>
      </c>
      <c r="R997" s="10" t="s">
        <v>5973</v>
      </c>
      <c r="S997" s="11"/>
      <c r="T997" s="6"/>
      <c r="U997" s="24" t="str">
        <f>HYPERLINK("https://media.infra-m.ru/1877/1877141/cover/1877141.jpg", "Обложка")</f>
        <v>Обложка</v>
      </c>
      <c r="V997" s="24" t="str">
        <f>HYPERLINK("https://znanium.ru/catalog/product/1852219", "Ознакомиться")</f>
        <v>Ознакомиться</v>
      </c>
      <c r="W997" s="8" t="s">
        <v>2019</v>
      </c>
      <c r="X997" s="6"/>
      <c r="Y997" s="6"/>
      <c r="Z997" s="6"/>
      <c r="AA997" s="6" t="s">
        <v>377</v>
      </c>
      <c r="AB997" s="8"/>
    </row>
    <row r="998" spans="1:28" s="4" customFormat="1" ht="51.95" customHeight="1">
      <c r="A998" s="5">
        <v>0</v>
      </c>
      <c r="B998" s="6" t="s">
        <v>5974</v>
      </c>
      <c r="C998" s="13">
        <v>988.8</v>
      </c>
      <c r="D998" s="8" t="s">
        <v>5975</v>
      </c>
      <c r="E998" s="8" t="s">
        <v>5976</v>
      </c>
      <c r="F998" s="8" t="s">
        <v>5977</v>
      </c>
      <c r="G998" s="6" t="s">
        <v>38</v>
      </c>
      <c r="H998" s="6" t="s">
        <v>39</v>
      </c>
      <c r="I998" s="8"/>
      <c r="J998" s="9">
        <v>1</v>
      </c>
      <c r="K998" s="9">
        <v>180</v>
      </c>
      <c r="L998" s="9">
        <v>2024</v>
      </c>
      <c r="M998" s="8" t="s">
        <v>5978</v>
      </c>
      <c r="N998" s="8" t="s">
        <v>42</v>
      </c>
      <c r="O998" s="8" t="s">
        <v>1035</v>
      </c>
      <c r="P998" s="6" t="s">
        <v>44</v>
      </c>
      <c r="Q998" s="8" t="s">
        <v>1152</v>
      </c>
      <c r="R998" s="10" t="s">
        <v>5979</v>
      </c>
      <c r="S998" s="11"/>
      <c r="T998" s="6"/>
      <c r="U998" s="24" t="str">
        <f>HYPERLINK("https://media.infra-m.ru/2117/2117137/cover/2117137.jpg", "Обложка")</f>
        <v>Обложка</v>
      </c>
      <c r="V998" s="24" t="str">
        <f>HYPERLINK("https://znanium.ru/catalog/product/1013468", "Ознакомиться")</f>
        <v>Ознакомиться</v>
      </c>
      <c r="W998" s="8" t="s">
        <v>509</v>
      </c>
      <c r="X998" s="6"/>
      <c r="Y998" s="6"/>
      <c r="Z998" s="6"/>
      <c r="AA998" s="6" t="s">
        <v>377</v>
      </c>
      <c r="AB998" s="8"/>
    </row>
    <row r="999" spans="1:28" s="4" customFormat="1" ht="51.95" customHeight="1">
      <c r="A999" s="5">
        <v>0</v>
      </c>
      <c r="B999" s="6" t="s">
        <v>5980</v>
      </c>
      <c r="C999" s="7">
        <v>1020</v>
      </c>
      <c r="D999" s="8" t="s">
        <v>5981</v>
      </c>
      <c r="E999" s="8" t="s">
        <v>5982</v>
      </c>
      <c r="F999" s="8" t="s">
        <v>5983</v>
      </c>
      <c r="G999" s="6" t="s">
        <v>132</v>
      </c>
      <c r="H999" s="6" t="s">
        <v>39</v>
      </c>
      <c r="I999" s="8" t="s">
        <v>40</v>
      </c>
      <c r="J999" s="9">
        <v>1</v>
      </c>
      <c r="K999" s="9">
        <v>166</v>
      </c>
      <c r="L999" s="9">
        <v>2023</v>
      </c>
      <c r="M999" s="8" t="s">
        <v>5984</v>
      </c>
      <c r="N999" s="8" t="s">
        <v>42</v>
      </c>
      <c r="O999" s="8" t="s">
        <v>101</v>
      </c>
      <c r="P999" s="6" t="s">
        <v>44</v>
      </c>
      <c r="Q999" s="8" t="s">
        <v>45</v>
      </c>
      <c r="R999" s="10" t="s">
        <v>5985</v>
      </c>
      <c r="S999" s="11"/>
      <c r="T999" s="6"/>
      <c r="U999" s="24" t="str">
        <f>HYPERLINK("https://media.infra-m.ru/1921/1921368/cover/1921368.jpg", "Обложка")</f>
        <v>Обложка</v>
      </c>
      <c r="V999" s="24" t="str">
        <f>HYPERLINK("https://znanium.ru/catalog/product/1921368", "Ознакомиться")</f>
        <v>Ознакомиться</v>
      </c>
      <c r="W999" s="8" t="s">
        <v>5986</v>
      </c>
      <c r="X999" s="6"/>
      <c r="Y999" s="6"/>
      <c r="Z999" s="6"/>
      <c r="AA999" s="6" t="s">
        <v>119</v>
      </c>
      <c r="AB999" s="8"/>
    </row>
    <row r="1000" spans="1:28" s="4" customFormat="1" ht="51.95" customHeight="1">
      <c r="A1000" s="5">
        <v>0</v>
      </c>
      <c r="B1000" s="6" t="s">
        <v>5987</v>
      </c>
      <c r="C1000" s="7">
        <v>1320</v>
      </c>
      <c r="D1000" s="8" t="s">
        <v>5988</v>
      </c>
      <c r="E1000" s="8" t="s">
        <v>5989</v>
      </c>
      <c r="F1000" s="8" t="s">
        <v>4515</v>
      </c>
      <c r="G1000" s="6" t="s">
        <v>81</v>
      </c>
      <c r="H1000" s="6" t="s">
        <v>99</v>
      </c>
      <c r="I1000" s="8"/>
      <c r="J1000" s="9">
        <v>1</v>
      </c>
      <c r="K1000" s="9">
        <v>200</v>
      </c>
      <c r="L1000" s="9">
        <v>2024</v>
      </c>
      <c r="M1000" s="8" t="s">
        <v>5990</v>
      </c>
      <c r="N1000" s="8" t="s">
        <v>42</v>
      </c>
      <c r="O1000" s="8" t="s">
        <v>101</v>
      </c>
      <c r="P1000" s="6" t="s">
        <v>44</v>
      </c>
      <c r="Q1000" s="8" t="s">
        <v>45</v>
      </c>
      <c r="R1000" s="10" t="s">
        <v>2280</v>
      </c>
      <c r="S1000" s="11"/>
      <c r="T1000" s="6"/>
      <c r="U1000" s="24" t="str">
        <f>HYPERLINK("https://media.infra-m.ru/2135/2135874/cover/2135874.jpg", "Обложка")</f>
        <v>Обложка</v>
      </c>
      <c r="V1000" s="24" t="str">
        <f>HYPERLINK("https://znanium.ru/catalog/product/2135874", "Ознакомиться")</f>
        <v>Ознакомиться</v>
      </c>
      <c r="W1000" s="8" t="s">
        <v>305</v>
      </c>
      <c r="X1000" s="6"/>
      <c r="Y1000" s="6"/>
      <c r="Z1000" s="6"/>
      <c r="AA1000" s="6" t="s">
        <v>119</v>
      </c>
      <c r="AB1000" s="8"/>
    </row>
    <row r="1001" spans="1:28" s="4" customFormat="1" ht="42" customHeight="1">
      <c r="A1001" s="5">
        <v>0</v>
      </c>
      <c r="B1001" s="6" t="s">
        <v>5991</v>
      </c>
      <c r="C1001" s="7">
        <v>1032</v>
      </c>
      <c r="D1001" s="8" t="s">
        <v>5992</v>
      </c>
      <c r="E1001" s="8" t="s">
        <v>5993</v>
      </c>
      <c r="F1001" s="8" t="s">
        <v>5994</v>
      </c>
      <c r="G1001" s="6" t="s">
        <v>81</v>
      </c>
      <c r="H1001" s="6" t="s">
        <v>39</v>
      </c>
      <c r="I1001" s="8" t="s">
        <v>40</v>
      </c>
      <c r="J1001" s="9">
        <v>1</v>
      </c>
      <c r="K1001" s="9">
        <v>219</v>
      </c>
      <c r="L1001" s="9">
        <v>2022</v>
      </c>
      <c r="M1001" s="8" t="s">
        <v>5995</v>
      </c>
      <c r="N1001" s="8" t="s">
        <v>42</v>
      </c>
      <c r="O1001" s="8" t="s">
        <v>101</v>
      </c>
      <c r="P1001" s="6" t="s">
        <v>44</v>
      </c>
      <c r="Q1001" s="8" t="s">
        <v>45</v>
      </c>
      <c r="R1001" s="10" t="s">
        <v>1854</v>
      </c>
      <c r="S1001" s="11"/>
      <c r="T1001" s="6"/>
      <c r="U1001" s="24" t="str">
        <f>HYPERLINK("https://media.infra-m.ru/1790/1790631/cover/1790631.jpg", "Обложка")</f>
        <v>Обложка</v>
      </c>
      <c r="V1001" s="24" t="str">
        <f>HYPERLINK("https://znanium.ru/catalog/product/2169734", "Ознакомиться")</f>
        <v>Ознакомиться</v>
      </c>
      <c r="W1001" s="8" t="s">
        <v>5996</v>
      </c>
      <c r="X1001" s="6"/>
      <c r="Y1001" s="6"/>
      <c r="Z1001" s="6"/>
      <c r="AA1001" s="6" t="s">
        <v>1826</v>
      </c>
      <c r="AB1001" s="8"/>
    </row>
    <row r="1002" spans="1:28" s="4" customFormat="1" ht="42" customHeight="1">
      <c r="A1002" s="5">
        <v>0</v>
      </c>
      <c r="B1002" s="6" t="s">
        <v>5997</v>
      </c>
      <c r="C1002" s="13">
        <v>816</v>
      </c>
      <c r="D1002" s="8" t="s">
        <v>5998</v>
      </c>
      <c r="E1002" s="8" t="s">
        <v>5999</v>
      </c>
      <c r="F1002" s="8" t="s">
        <v>6000</v>
      </c>
      <c r="G1002" s="6" t="s">
        <v>132</v>
      </c>
      <c r="H1002" s="6" t="s">
        <v>39</v>
      </c>
      <c r="I1002" s="8" t="s">
        <v>40</v>
      </c>
      <c r="J1002" s="9">
        <v>1</v>
      </c>
      <c r="K1002" s="9">
        <v>212</v>
      </c>
      <c r="L1002" s="9">
        <v>2018</v>
      </c>
      <c r="M1002" s="8" t="s">
        <v>6001</v>
      </c>
      <c r="N1002" s="8" t="s">
        <v>42</v>
      </c>
      <c r="O1002" s="8" t="s">
        <v>101</v>
      </c>
      <c r="P1002" s="6" t="s">
        <v>44</v>
      </c>
      <c r="Q1002" s="8" t="s">
        <v>45</v>
      </c>
      <c r="R1002" s="10" t="s">
        <v>1854</v>
      </c>
      <c r="S1002" s="11"/>
      <c r="T1002" s="6"/>
      <c r="U1002" s="24" t="str">
        <f>HYPERLINK("https://media.infra-m.ru/0966/0966592/cover/966592.jpg", "Обложка")</f>
        <v>Обложка</v>
      </c>
      <c r="V1002" s="24" t="str">
        <f>HYPERLINK("https://znanium.ru/catalog/product/2169734", "Ознакомиться")</f>
        <v>Ознакомиться</v>
      </c>
      <c r="W1002" s="8" t="s">
        <v>5996</v>
      </c>
      <c r="X1002" s="6"/>
      <c r="Y1002" s="6"/>
      <c r="Z1002" s="6"/>
      <c r="AA1002" s="6" t="s">
        <v>277</v>
      </c>
      <c r="AB1002" s="8"/>
    </row>
    <row r="1003" spans="1:28" s="4" customFormat="1" ht="42" customHeight="1">
      <c r="A1003" s="5">
        <v>0</v>
      </c>
      <c r="B1003" s="6" t="s">
        <v>6002</v>
      </c>
      <c r="C1003" s="7">
        <v>1404</v>
      </c>
      <c r="D1003" s="8" t="s">
        <v>6003</v>
      </c>
      <c r="E1003" s="8" t="s">
        <v>6004</v>
      </c>
      <c r="F1003" s="8" t="s">
        <v>5994</v>
      </c>
      <c r="G1003" s="6" t="s">
        <v>132</v>
      </c>
      <c r="H1003" s="6" t="s">
        <v>39</v>
      </c>
      <c r="I1003" s="8" t="s">
        <v>40</v>
      </c>
      <c r="J1003" s="9">
        <v>1</v>
      </c>
      <c r="K1003" s="9">
        <v>219</v>
      </c>
      <c r="L1003" s="9">
        <v>2025</v>
      </c>
      <c r="M1003" s="8" t="s">
        <v>6005</v>
      </c>
      <c r="N1003" s="8" t="s">
        <v>42</v>
      </c>
      <c r="O1003" s="8" t="s">
        <v>101</v>
      </c>
      <c r="P1003" s="6" t="s">
        <v>44</v>
      </c>
      <c r="Q1003" s="8" t="s">
        <v>45</v>
      </c>
      <c r="R1003" s="10" t="s">
        <v>1854</v>
      </c>
      <c r="S1003" s="11"/>
      <c r="T1003" s="6"/>
      <c r="U1003" s="24" t="str">
        <f>HYPERLINK("https://media.infra-m.ru/2169/2169734/cover/2169734.jpg", "Обложка")</f>
        <v>Обложка</v>
      </c>
      <c r="V1003" s="24" t="str">
        <f>HYPERLINK("https://znanium.ru/catalog/product/2169734", "Ознакомиться")</f>
        <v>Ознакомиться</v>
      </c>
      <c r="W1003" s="8" t="s">
        <v>5996</v>
      </c>
      <c r="X1003" s="6" t="s">
        <v>320</v>
      </c>
      <c r="Y1003" s="6"/>
      <c r="Z1003" s="6"/>
      <c r="AA1003" s="6" t="s">
        <v>6006</v>
      </c>
      <c r="AB1003" s="8"/>
    </row>
    <row r="1004" spans="1:28" s="4" customFormat="1" ht="44.1" customHeight="1">
      <c r="A1004" s="5">
        <v>0</v>
      </c>
      <c r="B1004" s="6" t="s">
        <v>6007</v>
      </c>
      <c r="C1004" s="7">
        <v>1096.8</v>
      </c>
      <c r="D1004" s="8" t="s">
        <v>6008</v>
      </c>
      <c r="E1004" s="8" t="s">
        <v>6009</v>
      </c>
      <c r="F1004" s="8" t="s">
        <v>6010</v>
      </c>
      <c r="G1004" s="6" t="s">
        <v>38</v>
      </c>
      <c r="H1004" s="6" t="s">
        <v>39</v>
      </c>
      <c r="I1004" s="8" t="s">
        <v>40</v>
      </c>
      <c r="J1004" s="9">
        <v>1</v>
      </c>
      <c r="K1004" s="9">
        <v>202</v>
      </c>
      <c r="L1004" s="9">
        <v>2023</v>
      </c>
      <c r="M1004" s="8" t="s">
        <v>6011</v>
      </c>
      <c r="N1004" s="8" t="s">
        <v>42</v>
      </c>
      <c r="O1004" s="8" t="s">
        <v>189</v>
      </c>
      <c r="P1004" s="6" t="s">
        <v>44</v>
      </c>
      <c r="Q1004" s="8" t="s">
        <v>45</v>
      </c>
      <c r="R1004" s="10" t="s">
        <v>6012</v>
      </c>
      <c r="S1004" s="11"/>
      <c r="T1004" s="6"/>
      <c r="U1004" s="24" t="str">
        <f>HYPERLINK("https://media.infra-m.ru/2045/2045967/cover/2045967.jpg", "Обложка")</f>
        <v>Обложка</v>
      </c>
      <c r="V1004" s="24" t="str">
        <f>HYPERLINK("https://znanium.ru/catalog/product/1045822", "Ознакомиться")</f>
        <v>Ознакомиться</v>
      </c>
      <c r="W1004" s="8" t="s">
        <v>6013</v>
      </c>
      <c r="X1004" s="6"/>
      <c r="Y1004" s="6"/>
      <c r="Z1004" s="6"/>
      <c r="AA1004" s="6" t="s">
        <v>76</v>
      </c>
      <c r="AB1004" s="8"/>
    </row>
    <row r="1005" spans="1:28" s="4" customFormat="1" ht="44.1" customHeight="1">
      <c r="A1005" s="5">
        <v>0</v>
      </c>
      <c r="B1005" s="6" t="s">
        <v>6014</v>
      </c>
      <c r="C1005" s="13">
        <v>629.9</v>
      </c>
      <c r="D1005" s="8" t="s">
        <v>6015</v>
      </c>
      <c r="E1005" s="8" t="s">
        <v>6016</v>
      </c>
      <c r="F1005" s="8" t="s">
        <v>6017</v>
      </c>
      <c r="G1005" s="6" t="s">
        <v>38</v>
      </c>
      <c r="H1005" s="6" t="s">
        <v>39</v>
      </c>
      <c r="I1005" s="8" t="s">
        <v>344</v>
      </c>
      <c r="J1005" s="9">
        <v>1</v>
      </c>
      <c r="K1005" s="9">
        <v>116</v>
      </c>
      <c r="L1005" s="9">
        <v>2023</v>
      </c>
      <c r="M1005" s="8" t="s">
        <v>6018</v>
      </c>
      <c r="N1005" s="8" t="s">
        <v>42</v>
      </c>
      <c r="O1005" s="8" t="s">
        <v>189</v>
      </c>
      <c r="P1005" s="6" t="s">
        <v>44</v>
      </c>
      <c r="Q1005" s="8" t="s">
        <v>45</v>
      </c>
      <c r="R1005" s="10" t="s">
        <v>6019</v>
      </c>
      <c r="S1005" s="11"/>
      <c r="T1005" s="6"/>
      <c r="U1005" s="24" t="str">
        <f>HYPERLINK("https://media.infra-m.ru/2030/2030892/cover/2030892.jpg", "Обложка")</f>
        <v>Обложка</v>
      </c>
      <c r="V1005" s="24" t="str">
        <f>HYPERLINK("https://znanium.ru/catalog/product/1001112", "Ознакомиться")</f>
        <v>Ознакомиться</v>
      </c>
      <c r="W1005" s="8" t="s">
        <v>346</v>
      </c>
      <c r="X1005" s="6"/>
      <c r="Y1005" s="6"/>
      <c r="Z1005" s="6"/>
      <c r="AA1005" s="6" t="s">
        <v>76</v>
      </c>
      <c r="AB1005" s="8"/>
    </row>
    <row r="1006" spans="1:28" s="4" customFormat="1" ht="51.95" customHeight="1">
      <c r="A1006" s="5">
        <v>0</v>
      </c>
      <c r="B1006" s="6" t="s">
        <v>6020</v>
      </c>
      <c r="C1006" s="7">
        <v>2800.8</v>
      </c>
      <c r="D1006" s="8" t="s">
        <v>6021</v>
      </c>
      <c r="E1006" s="8" t="s">
        <v>6022</v>
      </c>
      <c r="F1006" s="8" t="s">
        <v>6023</v>
      </c>
      <c r="G1006" s="6" t="s">
        <v>132</v>
      </c>
      <c r="H1006" s="6" t="s">
        <v>1019</v>
      </c>
      <c r="I1006" s="8" t="s">
        <v>1020</v>
      </c>
      <c r="J1006" s="9">
        <v>1</v>
      </c>
      <c r="K1006" s="9">
        <v>448</v>
      </c>
      <c r="L1006" s="9">
        <v>2025</v>
      </c>
      <c r="M1006" s="8" t="s">
        <v>6024</v>
      </c>
      <c r="N1006" s="8" t="s">
        <v>284</v>
      </c>
      <c r="O1006" s="8" t="s">
        <v>383</v>
      </c>
      <c r="P1006" s="6" t="s">
        <v>44</v>
      </c>
      <c r="Q1006" s="8" t="s">
        <v>45</v>
      </c>
      <c r="R1006" s="10" t="s">
        <v>6025</v>
      </c>
      <c r="S1006" s="11"/>
      <c r="T1006" s="6"/>
      <c r="U1006" s="24" t="str">
        <f>HYPERLINK("https://media.infra-m.ru/2194/2194339/cover/2194339.jpg", "Обложка")</f>
        <v>Обложка</v>
      </c>
      <c r="V1006" s="24" t="str">
        <f>HYPERLINK("https://znanium.ru/catalog/product/1178868", "Ознакомиться")</f>
        <v>Ознакомиться</v>
      </c>
      <c r="W1006" s="8" t="s">
        <v>6026</v>
      </c>
      <c r="X1006" s="6"/>
      <c r="Y1006" s="6"/>
      <c r="Z1006" s="6"/>
      <c r="AA1006" s="6" t="s">
        <v>127</v>
      </c>
      <c r="AB1006" s="8"/>
    </row>
    <row r="1007" spans="1:28" s="4" customFormat="1" ht="44.1" customHeight="1">
      <c r="A1007" s="5">
        <v>0</v>
      </c>
      <c r="B1007" s="6" t="s">
        <v>6027</v>
      </c>
      <c r="C1007" s="13">
        <v>660</v>
      </c>
      <c r="D1007" s="8" t="s">
        <v>6028</v>
      </c>
      <c r="E1007" s="8" t="s">
        <v>6029</v>
      </c>
      <c r="F1007" s="8" t="s">
        <v>6030</v>
      </c>
      <c r="G1007" s="6" t="s">
        <v>38</v>
      </c>
      <c r="H1007" s="6" t="s">
        <v>39</v>
      </c>
      <c r="I1007" s="8" t="s">
        <v>40</v>
      </c>
      <c r="J1007" s="9">
        <v>1</v>
      </c>
      <c r="K1007" s="9">
        <v>121</v>
      </c>
      <c r="L1007" s="9">
        <v>2022</v>
      </c>
      <c r="M1007" s="8" t="s">
        <v>6031</v>
      </c>
      <c r="N1007" s="8" t="s">
        <v>42</v>
      </c>
      <c r="O1007" s="8" t="s">
        <v>246</v>
      </c>
      <c r="P1007" s="6" t="s">
        <v>44</v>
      </c>
      <c r="Q1007" s="8" t="s">
        <v>45</v>
      </c>
      <c r="R1007" s="10" t="s">
        <v>6032</v>
      </c>
      <c r="S1007" s="11"/>
      <c r="T1007" s="6"/>
      <c r="U1007" s="24" t="str">
        <f>HYPERLINK("https://media.infra-m.ru/1946/1946544/cover/1946544.jpg", "Обложка")</f>
        <v>Обложка</v>
      </c>
      <c r="V1007" s="24" t="str">
        <f>HYPERLINK("https://znanium.ru/catalog/product/1946544", "Ознакомиться")</f>
        <v>Ознакомиться</v>
      </c>
      <c r="W1007" s="8" t="s">
        <v>5050</v>
      </c>
      <c r="X1007" s="6"/>
      <c r="Y1007" s="6"/>
      <c r="Z1007" s="6"/>
      <c r="AA1007" s="6" t="s">
        <v>377</v>
      </c>
      <c r="AB1007" s="8"/>
    </row>
    <row r="1008" spans="1:28" s="4" customFormat="1" ht="44.1" customHeight="1">
      <c r="A1008" s="5">
        <v>0</v>
      </c>
      <c r="B1008" s="6" t="s">
        <v>6033</v>
      </c>
      <c r="C1008" s="7">
        <v>1488</v>
      </c>
      <c r="D1008" s="8" t="s">
        <v>6034</v>
      </c>
      <c r="E1008" s="8" t="s">
        <v>6035</v>
      </c>
      <c r="F1008" s="8" t="s">
        <v>6036</v>
      </c>
      <c r="G1008" s="6" t="s">
        <v>81</v>
      </c>
      <c r="H1008" s="6" t="s">
        <v>1019</v>
      </c>
      <c r="I1008" s="8" t="s">
        <v>1020</v>
      </c>
      <c r="J1008" s="9">
        <v>18</v>
      </c>
      <c r="K1008" s="9">
        <v>350</v>
      </c>
      <c r="L1008" s="9">
        <v>2020</v>
      </c>
      <c r="M1008" s="8" t="s">
        <v>6037</v>
      </c>
      <c r="N1008" s="8" t="s">
        <v>54</v>
      </c>
      <c r="O1008" s="8" t="s">
        <v>91</v>
      </c>
      <c r="P1008" s="6" t="s">
        <v>44</v>
      </c>
      <c r="Q1008" s="8" t="s">
        <v>45</v>
      </c>
      <c r="R1008" s="10" t="s">
        <v>5266</v>
      </c>
      <c r="S1008" s="11"/>
      <c r="T1008" s="6"/>
      <c r="U1008" s="24" t="str">
        <f>HYPERLINK("https://media.infra-m.ru/1069/1069026/cover/1069026.jpg", "Обложка")</f>
        <v>Обложка</v>
      </c>
      <c r="V1008" s="24" t="str">
        <f>HYPERLINK("https://znanium.ru/catalog/product/1069026", "Ознакомиться")</f>
        <v>Ознакомиться</v>
      </c>
      <c r="W1008" s="8" t="s">
        <v>1543</v>
      </c>
      <c r="X1008" s="6"/>
      <c r="Y1008" s="6"/>
      <c r="Z1008" s="6"/>
      <c r="AA1008" s="6" t="s">
        <v>369</v>
      </c>
      <c r="AB1008" s="8"/>
    </row>
    <row r="1009" spans="1:28" s="4" customFormat="1" ht="42" customHeight="1">
      <c r="A1009" s="5">
        <v>0</v>
      </c>
      <c r="B1009" s="6" t="s">
        <v>6038</v>
      </c>
      <c r="C1009" s="7">
        <v>1572</v>
      </c>
      <c r="D1009" s="8" t="s">
        <v>6039</v>
      </c>
      <c r="E1009" s="8" t="s">
        <v>6040</v>
      </c>
      <c r="F1009" s="8" t="s">
        <v>6041</v>
      </c>
      <c r="G1009" s="6" t="s">
        <v>132</v>
      </c>
      <c r="H1009" s="6" t="s">
        <v>39</v>
      </c>
      <c r="I1009" s="8" t="s">
        <v>40</v>
      </c>
      <c r="J1009" s="9">
        <v>1</v>
      </c>
      <c r="K1009" s="9">
        <v>239</v>
      </c>
      <c r="L1009" s="9">
        <v>2026</v>
      </c>
      <c r="M1009" s="8" t="s">
        <v>6042</v>
      </c>
      <c r="N1009" s="8" t="s">
        <v>284</v>
      </c>
      <c r="O1009" s="8" t="s">
        <v>717</v>
      </c>
      <c r="P1009" s="6" t="s">
        <v>44</v>
      </c>
      <c r="Q1009" s="8" t="s">
        <v>45</v>
      </c>
      <c r="R1009" s="10" t="s">
        <v>6043</v>
      </c>
      <c r="S1009" s="11"/>
      <c r="T1009" s="6"/>
      <c r="U1009" s="24" t="str">
        <f>HYPERLINK("https://media.infra-m.ru/2193/2193753/cover/2193753.jpg", "Обложка")</f>
        <v>Обложка</v>
      </c>
      <c r="V1009" s="24" t="str">
        <f>HYPERLINK("https://znanium.ru/catalog/product/2193753", "Ознакомиться")</f>
        <v>Ознакомиться</v>
      </c>
      <c r="W1009" s="8" t="s">
        <v>3004</v>
      </c>
      <c r="X1009" s="6" t="s">
        <v>158</v>
      </c>
      <c r="Y1009" s="6"/>
      <c r="Z1009" s="6"/>
      <c r="AA1009" s="6" t="s">
        <v>833</v>
      </c>
      <c r="AB1009" s="8"/>
    </row>
    <row r="1010" spans="1:28" s="4" customFormat="1" ht="44.1" customHeight="1">
      <c r="A1010" s="5">
        <v>0</v>
      </c>
      <c r="B1010" s="6" t="s">
        <v>6044</v>
      </c>
      <c r="C1010" s="7">
        <v>1852.8</v>
      </c>
      <c r="D1010" s="8" t="s">
        <v>6045</v>
      </c>
      <c r="E1010" s="8" t="s">
        <v>6046</v>
      </c>
      <c r="F1010" s="8" t="s">
        <v>6047</v>
      </c>
      <c r="G1010" s="6" t="s">
        <v>38</v>
      </c>
      <c r="H1010" s="6" t="s">
        <v>39</v>
      </c>
      <c r="I1010" s="8" t="s">
        <v>40</v>
      </c>
      <c r="J1010" s="9">
        <v>1</v>
      </c>
      <c r="K1010" s="9">
        <v>296</v>
      </c>
      <c r="L1010" s="9">
        <v>2025</v>
      </c>
      <c r="M1010" s="8" t="s">
        <v>6048</v>
      </c>
      <c r="N1010" s="8" t="s">
        <v>229</v>
      </c>
      <c r="O1010" s="8" t="s">
        <v>230</v>
      </c>
      <c r="P1010" s="6" t="s">
        <v>44</v>
      </c>
      <c r="Q1010" s="8" t="s">
        <v>45</v>
      </c>
      <c r="R1010" s="10" t="s">
        <v>6049</v>
      </c>
      <c r="S1010" s="11"/>
      <c r="T1010" s="6"/>
      <c r="U1010" s="24" t="str">
        <f>HYPERLINK("https://media.infra-m.ru/2202/2202587/cover/2202587.jpg", "Обложка")</f>
        <v>Обложка</v>
      </c>
      <c r="V1010" s="24" t="str">
        <f>HYPERLINK("https://znanium.ru/catalog/product/2196481", "Ознакомиться")</f>
        <v>Ознакомиться</v>
      </c>
      <c r="W1010" s="8" t="s">
        <v>4178</v>
      </c>
      <c r="X1010" s="6"/>
      <c r="Y1010" s="6"/>
      <c r="Z1010" s="6"/>
      <c r="AA1010" s="6" t="s">
        <v>68</v>
      </c>
      <c r="AB1010" s="8"/>
    </row>
    <row r="1011" spans="1:28" s="4" customFormat="1" ht="42" customHeight="1">
      <c r="A1011" s="5">
        <v>0</v>
      </c>
      <c r="B1011" s="6" t="s">
        <v>6050</v>
      </c>
      <c r="C1011" s="7">
        <v>3312</v>
      </c>
      <c r="D1011" s="8" t="s">
        <v>6051</v>
      </c>
      <c r="E1011" s="8" t="s">
        <v>6052</v>
      </c>
      <c r="F1011" s="8" t="s">
        <v>6053</v>
      </c>
      <c r="G1011" s="6" t="s">
        <v>132</v>
      </c>
      <c r="H1011" s="6" t="s">
        <v>99</v>
      </c>
      <c r="I1011" s="8"/>
      <c r="J1011" s="9">
        <v>1</v>
      </c>
      <c r="K1011" s="9">
        <v>524</v>
      </c>
      <c r="L1011" s="9">
        <v>2026</v>
      </c>
      <c r="M1011" s="8" t="s">
        <v>6054</v>
      </c>
      <c r="N1011" s="8" t="s">
        <v>42</v>
      </c>
      <c r="O1011" s="8" t="s">
        <v>101</v>
      </c>
      <c r="P1011" s="6" t="s">
        <v>44</v>
      </c>
      <c r="Q1011" s="8" t="s">
        <v>45</v>
      </c>
      <c r="R1011" s="10" t="s">
        <v>6055</v>
      </c>
      <c r="S1011" s="11"/>
      <c r="T1011" s="6"/>
      <c r="U1011" s="24" t="str">
        <f>HYPERLINK("https://media.infra-m.ru/2218/2218764/cover/2218764.jpg", "Обложка")</f>
        <v>Обложка</v>
      </c>
      <c r="V1011" s="24" t="str">
        <f>HYPERLINK("https://znanium.ru/catalog/product/1035607", "Ознакомиться")</f>
        <v>Ознакомиться</v>
      </c>
      <c r="W1011" s="8" t="s">
        <v>6056</v>
      </c>
      <c r="X1011" s="6"/>
      <c r="Y1011" s="6"/>
      <c r="Z1011" s="6"/>
      <c r="AA1011" s="6" t="s">
        <v>1826</v>
      </c>
      <c r="AB1011" s="8"/>
    </row>
    <row r="1012" spans="1:28" s="4" customFormat="1" ht="42" customHeight="1">
      <c r="A1012" s="5">
        <v>0</v>
      </c>
      <c r="B1012" s="6" t="s">
        <v>6057</v>
      </c>
      <c r="C1012" s="7">
        <v>1961.9</v>
      </c>
      <c r="D1012" s="8" t="s">
        <v>6058</v>
      </c>
      <c r="E1012" s="8" t="s">
        <v>6059</v>
      </c>
      <c r="F1012" s="8" t="s">
        <v>6060</v>
      </c>
      <c r="G1012" s="6" t="s">
        <v>132</v>
      </c>
      <c r="H1012" s="6" t="s">
        <v>39</v>
      </c>
      <c r="I1012" s="8" t="s">
        <v>344</v>
      </c>
      <c r="J1012" s="9">
        <v>1</v>
      </c>
      <c r="K1012" s="9">
        <v>363</v>
      </c>
      <c r="L1012" s="9">
        <v>2023</v>
      </c>
      <c r="M1012" s="8" t="s">
        <v>6061</v>
      </c>
      <c r="N1012" s="8" t="s">
        <v>284</v>
      </c>
      <c r="O1012" s="8" t="s">
        <v>285</v>
      </c>
      <c r="P1012" s="6" t="s">
        <v>44</v>
      </c>
      <c r="Q1012" s="8" t="s">
        <v>45</v>
      </c>
      <c r="R1012" s="10" t="s">
        <v>6062</v>
      </c>
      <c r="S1012" s="11"/>
      <c r="T1012" s="6"/>
      <c r="U1012" s="24" t="str">
        <f>HYPERLINK("https://media.infra-m.ru/2006/2006891/cover/2006891.jpg", "Обложка")</f>
        <v>Обложка</v>
      </c>
      <c r="V1012" s="12"/>
      <c r="W1012" s="8" t="s">
        <v>346</v>
      </c>
      <c r="X1012" s="6"/>
      <c r="Y1012" s="6"/>
      <c r="Z1012" s="6"/>
      <c r="AA1012" s="6" t="s">
        <v>68</v>
      </c>
      <c r="AB1012" s="8"/>
    </row>
    <row r="1013" spans="1:28" s="4" customFormat="1" ht="51.95" customHeight="1">
      <c r="A1013" s="5">
        <v>0</v>
      </c>
      <c r="B1013" s="6" t="s">
        <v>6063</v>
      </c>
      <c r="C1013" s="7">
        <v>1044</v>
      </c>
      <c r="D1013" s="8" t="s">
        <v>6064</v>
      </c>
      <c r="E1013" s="8" t="s">
        <v>6065</v>
      </c>
      <c r="F1013" s="8" t="s">
        <v>4991</v>
      </c>
      <c r="G1013" s="6" t="s">
        <v>38</v>
      </c>
      <c r="H1013" s="6" t="s">
        <v>39</v>
      </c>
      <c r="I1013" s="8" t="s">
        <v>40</v>
      </c>
      <c r="J1013" s="9">
        <v>1</v>
      </c>
      <c r="K1013" s="9">
        <v>234</v>
      </c>
      <c r="L1013" s="9">
        <v>2021</v>
      </c>
      <c r="M1013" s="8" t="s">
        <v>6066</v>
      </c>
      <c r="N1013" s="8" t="s">
        <v>42</v>
      </c>
      <c r="O1013" s="8" t="s">
        <v>189</v>
      </c>
      <c r="P1013" s="6" t="s">
        <v>44</v>
      </c>
      <c r="Q1013" s="8" t="s">
        <v>45</v>
      </c>
      <c r="R1013" s="10" t="s">
        <v>375</v>
      </c>
      <c r="S1013" s="11"/>
      <c r="T1013" s="6"/>
      <c r="U1013" s="24" t="str">
        <f>HYPERLINK("https://media.infra-m.ru/1239/1239531/cover/1239531.jpg", "Обложка")</f>
        <v>Обложка</v>
      </c>
      <c r="V1013" s="24" t="str">
        <f>HYPERLINK("https://znanium.ru/catalog/product/1239531", "Ознакомиться")</f>
        <v>Ознакомиться</v>
      </c>
      <c r="W1013" s="8" t="s">
        <v>207</v>
      </c>
      <c r="X1013" s="6"/>
      <c r="Y1013" s="6"/>
      <c r="Z1013" s="6"/>
      <c r="AA1013" s="6" t="s">
        <v>892</v>
      </c>
      <c r="AB1013" s="8"/>
    </row>
    <row r="1014" spans="1:28" s="4" customFormat="1" ht="42" customHeight="1">
      <c r="A1014" s="5">
        <v>0</v>
      </c>
      <c r="B1014" s="6" t="s">
        <v>6067</v>
      </c>
      <c r="C1014" s="7">
        <v>1252.8</v>
      </c>
      <c r="D1014" s="8" t="s">
        <v>6068</v>
      </c>
      <c r="E1014" s="8" t="s">
        <v>6069</v>
      </c>
      <c r="F1014" s="8" t="s">
        <v>6070</v>
      </c>
      <c r="G1014" s="6" t="s">
        <v>38</v>
      </c>
      <c r="H1014" s="6" t="s">
        <v>39</v>
      </c>
      <c r="I1014" s="8" t="s">
        <v>40</v>
      </c>
      <c r="J1014" s="9">
        <v>1</v>
      </c>
      <c r="K1014" s="9">
        <v>228</v>
      </c>
      <c r="L1014" s="9">
        <v>2024</v>
      </c>
      <c r="M1014" s="8" t="s">
        <v>6071</v>
      </c>
      <c r="N1014" s="8" t="s">
        <v>42</v>
      </c>
      <c r="O1014" s="8" t="s">
        <v>189</v>
      </c>
      <c r="P1014" s="6" t="s">
        <v>44</v>
      </c>
      <c r="Q1014" s="8" t="s">
        <v>45</v>
      </c>
      <c r="R1014" s="10" t="s">
        <v>6072</v>
      </c>
      <c r="S1014" s="11"/>
      <c r="T1014" s="6"/>
      <c r="U1014" s="24" t="str">
        <f>HYPERLINK("https://media.infra-m.ru/2103/2103137/cover/2103137.jpg", "Обложка")</f>
        <v>Обложка</v>
      </c>
      <c r="V1014" s="24" t="str">
        <f>HYPERLINK("https://znanium.ru/catalog/product/959918", "Ознакомиться")</f>
        <v>Ознакомиться</v>
      </c>
      <c r="W1014" s="8" t="s">
        <v>305</v>
      </c>
      <c r="X1014" s="6"/>
      <c r="Y1014" s="6"/>
      <c r="Z1014" s="6"/>
      <c r="AA1014" s="6" t="s">
        <v>377</v>
      </c>
      <c r="AB1014" s="8"/>
    </row>
    <row r="1015" spans="1:28" s="4" customFormat="1" ht="51.95" customHeight="1">
      <c r="A1015" s="5">
        <v>0</v>
      </c>
      <c r="B1015" s="6" t="s">
        <v>6073</v>
      </c>
      <c r="C1015" s="7">
        <v>1684.8</v>
      </c>
      <c r="D1015" s="8" t="s">
        <v>6074</v>
      </c>
      <c r="E1015" s="8" t="s">
        <v>6075</v>
      </c>
      <c r="F1015" s="8" t="s">
        <v>6076</v>
      </c>
      <c r="G1015" s="6" t="s">
        <v>38</v>
      </c>
      <c r="H1015" s="6" t="s">
        <v>39</v>
      </c>
      <c r="I1015" s="8" t="s">
        <v>40</v>
      </c>
      <c r="J1015" s="9">
        <v>1</v>
      </c>
      <c r="K1015" s="9">
        <v>215</v>
      </c>
      <c r="L1015" s="9">
        <v>2025</v>
      </c>
      <c r="M1015" s="8" t="s">
        <v>6077</v>
      </c>
      <c r="N1015" s="8" t="s">
        <v>42</v>
      </c>
      <c r="O1015" s="8" t="s">
        <v>246</v>
      </c>
      <c r="P1015" s="6" t="s">
        <v>44</v>
      </c>
      <c r="Q1015" s="8" t="s">
        <v>45</v>
      </c>
      <c r="R1015" s="10" t="s">
        <v>6078</v>
      </c>
      <c r="S1015" s="11"/>
      <c r="T1015" s="6"/>
      <c r="U1015" s="24" t="str">
        <f>HYPERLINK("https://media.infra-m.ru/2185/2185232/cover/2185232.jpg", "Обложка")</f>
        <v>Обложка</v>
      </c>
      <c r="V1015" s="24" t="str">
        <f>HYPERLINK("https://znanium.ru/catalog/product/2183461", "Ознакомиться")</f>
        <v>Ознакомиться</v>
      </c>
      <c r="W1015" s="8" t="s">
        <v>516</v>
      </c>
      <c r="X1015" s="6"/>
      <c r="Y1015" s="6"/>
      <c r="Z1015" s="6"/>
      <c r="AA1015" s="6" t="s">
        <v>2773</v>
      </c>
      <c r="AB1015" s="8"/>
    </row>
    <row r="1016" spans="1:28" s="4" customFormat="1" ht="51.95" customHeight="1">
      <c r="A1016" s="5">
        <v>0</v>
      </c>
      <c r="B1016" s="6" t="s">
        <v>6079</v>
      </c>
      <c r="C1016" s="7">
        <v>1496.4</v>
      </c>
      <c r="D1016" s="8" t="s">
        <v>6080</v>
      </c>
      <c r="E1016" s="8" t="s">
        <v>6081</v>
      </c>
      <c r="F1016" s="8" t="s">
        <v>6082</v>
      </c>
      <c r="G1016" s="6" t="s">
        <v>38</v>
      </c>
      <c r="H1016" s="6" t="s">
        <v>1019</v>
      </c>
      <c r="I1016" s="8" t="s">
        <v>1020</v>
      </c>
      <c r="J1016" s="9">
        <v>1</v>
      </c>
      <c r="K1016" s="9">
        <v>208</v>
      </c>
      <c r="L1016" s="9">
        <v>2024</v>
      </c>
      <c r="M1016" s="8" t="s">
        <v>6083</v>
      </c>
      <c r="N1016" s="8" t="s">
        <v>42</v>
      </c>
      <c r="O1016" s="8" t="s">
        <v>246</v>
      </c>
      <c r="P1016" s="6" t="s">
        <v>44</v>
      </c>
      <c r="Q1016" s="8" t="s">
        <v>1152</v>
      </c>
      <c r="R1016" s="10" t="s">
        <v>6078</v>
      </c>
      <c r="S1016" s="11"/>
      <c r="T1016" s="6"/>
      <c r="U1016" s="24" t="str">
        <f>HYPERLINK("https://media.infra-m.ru/2110/2110928/cover/2110928.jpg", "Обложка")</f>
        <v>Обложка</v>
      </c>
      <c r="V1016" s="24" t="str">
        <f>HYPERLINK("https://znanium.ru/catalog/product/2183461", "Ознакомиться")</f>
        <v>Ознакомиться</v>
      </c>
      <c r="W1016" s="8" t="s">
        <v>516</v>
      </c>
      <c r="X1016" s="6"/>
      <c r="Y1016" s="6"/>
      <c r="Z1016" s="6"/>
      <c r="AA1016" s="6" t="s">
        <v>94</v>
      </c>
      <c r="AB1016" s="8"/>
    </row>
    <row r="1017" spans="1:28" s="4" customFormat="1" ht="42" customHeight="1">
      <c r="A1017" s="5">
        <v>0</v>
      </c>
      <c r="B1017" s="6" t="s">
        <v>6084</v>
      </c>
      <c r="C1017" s="13">
        <v>965.9</v>
      </c>
      <c r="D1017" s="8" t="s">
        <v>6085</v>
      </c>
      <c r="E1017" s="8" t="s">
        <v>6086</v>
      </c>
      <c r="F1017" s="8" t="s">
        <v>6087</v>
      </c>
      <c r="G1017" s="6" t="s">
        <v>38</v>
      </c>
      <c r="H1017" s="6" t="s">
        <v>39</v>
      </c>
      <c r="I1017" s="8" t="s">
        <v>40</v>
      </c>
      <c r="J1017" s="9">
        <v>1</v>
      </c>
      <c r="K1017" s="9">
        <v>179</v>
      </c>
      <c r="L1017" s="9">
        <v>2023</v>
      </c>
      <c r="M1017" s="8" t="s">
        <v>6088</v>
      </c>
      <c r="N1017" s="8" t="s">
        <v>42</v>
      </c>
      <c r="O1017" s="8" t="s">
        <v>246</v>
      </c>
      <c r="P1017" s="6" t="s">
        <v>44</v>
      </c>
      <c r="Q1017" s="8" t="s">
        <v>45</v>
      </c>
      <c r="R1017" s="10" t="s">
        <v>1100</v>
      </c>
      <c r="S1017" s="11"/>
      <c r="T1017" s="6"/>
      <c r="U1017" s="24" t="str">
        <f>HYPERLINK("https://media.infra-m.ru/1964/1964973/cover/1964973.jpg", "Обложка")</f>
        <v>Обложка</v>
      </c>
      <c r="V1017" s="24" t="str">
        <f>HYPERLINK("https://znanium.ru/catalog/product/1015972", "Ознакомиться")</f>
        <v>Ознакомиться</v>
      </c>
      <c r="W1017" s="8" t="s">
        <v>207</v>
      </c>
      <c r="X1017" s="6"/>
      <c r="Y1017" s="6"/>
      <c r="Z1017" s="6"/>
      <c r="AA1017" s="6" t="s">
        <v>168</v>
      </c>
      <c r="AB1017" s="8"/>
    </row>
    <row r="1018" spans="1:28" s="4" customFormat="1" ht="51.95" customHeight="1">
      <c r="A1018" s="5">
        <v>0</v>
      </c>
      <c r="B1018" s="6" t="s">
        <v>6089</v>
      </c>
      <c r="C1018" s="13">
        <v>972</v>
      </c>
      <c r="D1018" s="8" t="s">
        <v>6090</v>
      </c>
      <c r="E1018" s="8" t="s">
        <v>6091</v>
      </c>
      <c r="F1018" s="8" t="s">
        <v>6092</v>
      </c>
      <c r="G1018" s="6" t="s">
        <v>132</v>
      </c>
      <c r="H1018" s="6" t="s">
        <v>39</v>
      </c>
      <c r="I1018" s="8" t="s">
        <v>40</v>
      </c>
      <c r="J1018" s="9">
        <v>1</v>
      </c>
      <c r="K1018" s="9">
        <v>198</v>
      </c>
      <c r="L1018" s="9">
        <v>2022</v>
      </c>
      <c r="M1018" s="8" t="s">
        <v>6093</v>
      </c>
      <c r="N1018" s="8" t="s">
        <v>42</v>
      </c>
      <c r="O1018" s="8" t="s">
        <v>246</v>
      </c>
      <c r="P1018" s="6" t="s">
        <v>44</v>
      </c>
      <c r="Q1018" s="8" t="s">
        <v>45</v>
      </c>
      <c r="R1018" s="10" t="s">
        <v>6094</v>
      </c>
      <c r="S1018" s="11"/>
      <c r="T1018" s="6" t="s">
        <v>1080</v>
      </c>
      <c r="U1018" s="24" t="str">
        <f>HYPERLINK("https://media.infra-m.ru/1842/1842566/cover/1842566.jpg", "Обложка")</f>
        <v>Обложка</v>
      </c>
      <c r="V1018" s="24" t="str">
        <f>HYPERLINK("https://znanium.ru/catalog/product/1842566", "Ознакомиться")</f>
        <v>Ознакомиться</v>
      </c>
      <c r="W1018" s="8" t="s">
        <v>207</v>
      </c>
      <c r="X1018" s="6"/>
      <c r="Y1018" s="6"/>
      <c r="Z1018" s="6"/>
      <c r="AA1018" s="6" t="s">
        <v>111</v>
      </c>
      <c r="AB1018" s="8" t="s">
        <v>1902</v>
      </c>
    </row>
    <row r="1019" spans="1:28" s="4" customFormat="1" ht="44.1" customHeight="1">
      <c r="A1019" s="5">
        <v>0</v>
      </c>
      <c r="B1019" s="6" t="s">
        <v>6095</v>
      </c>
      <c r="C1019" s="7">
        <v>1188</v>
      </c>
      <c r="D1019" s="8" t="s">
        <v>6096</v>
      </c>
      <c r="E1019" s="8" t="s">
        <v>6097</v>
      </c>
      <c r="F1019" s="8" t="s">
        <v>6098</v>
      </c>
      <c r="G1019" s="6" t="s">
        <v>38</v>
      </c>
      <c r="H1019" s="6" t="s">
        <v>39</v>
      </c>
      <c r="I1019" s="8" t="s">
        <v>40</v>
      </c>
      <c r="J1019" s="9">
        <v>1</v>
      </c>
      <c r="K1019" s="9">
        <v>219</v>
      </c>
      <c r="L1019" s="9">
        <v>2022</v>
      </c>
      <c r="M1019" s="8" t="s">
        <v>6099</v>
      </c>
      <c r="N1019" s="8" t="s">
        <v>42</v>
      </c>
      <c r="O1019" s="8" t="s">
        <v>189</v>
      </c>
      <c r="P1019" s="6" t="s">
        <v>44</v>
      </c>
      <c r="Q1019" s="8" t="s">
        <v>45</v>
      </c>
      <c r="R1019" s="10" t="s">
        <v>6100</v>
      </c>
      <c r="S1019" s="11"/>
      <c r="T1019" s="6"/>
      <c r="U1019" s="24" t="str">
        <f>HYPERLINK("https://media.infra-m.ru/1842/1842567/cover/1842567.jpg", "Обложка")</f>
        <v>Обложка</v>
      </c>
      <c r="V1019" s="24" t="str">
        <f>HYPERLINK("https://znanium.ru/catalog/product/1842567", "Ознакомиться")</f>
        <v>Ознакомиться</v>
      </c>
      <c r="W1019" s="8" t="s">
        <v>157</v>
      </c>
      <c r="X1019" s="6"/>
      <c r="Y1019" s="6"/>
      <c r="Z1019" s="6"/>
      <c r="AA1019" s="6" t="s">
        <v>111</v>
      </c>
      <c r="AB1019" s="8"/>
    </row>
    <row r="1020" spans="1:28" s="4" customFormat="1" ht="42" customHeight="1">
      <c r="A1020" s="5">
        <v>0</v>
      </c>
      <c r="B1020" s="6" t="s">
        <v>6101</v>
      </c>
      <c r="C1020" s="7">
        <v>1212</v>
      </c>
      <c r="D1020" s="8" t="s">
        <v>6102</v>
      </c>
      <c r="E1020" s="8" t="s">
        <v>6103</v>
      </c>
      <c r="F1020" s="8" t="s">
        <v>2318</v>
      </c>
      <c r="G1020" s="6" t="s">
        <v>38</v>
      </c>
      <c r="H1020" s="6" t="s">
        <v>39</v>
      </c>
      <c r="I1020" s="8" t="s">
        <v>40</v>
      </c>
      <c r="J1020" s="9">
        <v>1</v>
      </c>
      <c r="K1020" s="9">
        <v>218</v>
      </c>
      <c r="L1020" s="9">
        <v>2023</v>
      </c>
      <c r="M1020" s="8" t="s">
        <v>6104</v>
      </c>
      <c r="N1020" s="8" t="s">
        <v>220</v>
      </c>
      <c r="O1020" s="8" t="s">
        <v>296</v>
      </c>
      <c r="P1020" s="6" t="s">
        <v>44</v>
      </c>
      <c r="Q1020" s="8" t="s">
        <v>45</v>
      </c>
      <c r="R1020" s="10" t="s">
        <v>2220</v>
      </c>
      <c r="S1020" s="11"/>
      <c r="T1020" s="6"/>
      <c r="U1020" s="24" t="str">
        <f>HYPERLINK("https://media.infra-m.ru/2126/2126517/cover/2126517.jpg", "Обложка")</f>
        <v>Обложка</v>
      </c>
      <c r="V1020" s="24" t="str">
        <f>HYPERLINK("https://znanium.ru/catalog/product/2126517", "Ознакомиться")</f>
        <v>Ознакомиться</v>
      </c>
      <c r="W1020" s="8" t="s">
        <v>2320</v>
      </c>
      <c r="X1020" s="6"/>
      <c r="Y1020" s="6"/>
      <c r="Z1020" s="6"/>
      <c r="AA1020" s="6" t="s">
        <v>339</v>
      </c>
      <c r="AB1020" s="8"/>
    </row>
    <row r="1021" spans="1:28" s="4" customFormat="1" ht="42" customHeight="1">
      <c r="A1021" s="5">
        <v>0</v>
      </c>
      <c r="B1021" s="6" t="s">
        <v>6105</v>
      </c>
      <c r="C1021" s="7">
        <v>1372.8</v>
      </c>
      <c r="D1021" s="8" t="s">
        <v>6106</v>
      </c>
      <c r="E1021" s="8" t="s">
        <v>6107</v>
      </c>
      <c r="F1021" s="8" t="s">
        <v>6108</v>
      </c>
      <c r="G1021" s="6" t="s">
        <v>38</v>
      </c>
      <c r="H1021" s="6" t="s">
        <v>39</v>
      </c>
      <c r="I1021" s="8" t="s">
        <v>40</v>
      </c>
      <c r="J1021" s="9">
        <v>1</v>
      </c>
      <c r="K1021" s="9">
        <v>248</v>
      </c>
      <c r="L1021" s="9">
        <v>2024</v>
      </c>
      <c r="M1021" s="8" t="s">
        <v>6109</v>
      </c>
      <c r="N1021" s="8" t="s">
        <v>42</v>
      </c>
      <c r="O1021" s="8" t="s">
        <v>189</v>
      </c>
      <c r="P1021" s="6" t="s">
        <v>44</v>
      </c>
      <c r="Q1021" s="8" t="s">
        <v>45</v>
      </c>
      <c r="R1021" s="10" t="s">
        <v>3755</v>
      </c>
      <c r="S1021" s="11"/>
      <c r="T1021" s="6"/>
      <c r="U1021" s="24" t="str">
        <f>HYPERLINK("https://media.infra-m.ru/2117/2117156/cover/2117156.jpg", "Обложка")</f>
        <v>Обложка</v>
      </c>
      <c r="V1021" s="12"/>
      <c r="W1021" s="8" t="s">
        <v>207</v>
      </c>
      <c r="X1021" s="6"/>
      <c r="Y1021" s="6"/>
      <c r="Z1021" s="6"/>
      <c r="AA1021" s="6" t="s">
        <v>127</v>
      </c>
      <c r="AB1021" s="8"/>
    </row>
    <row r="1022" spans="1:28" s="4" customFormat="1" ht="51.95" customHeight="1">
      <c r="A1022" s="5">
        <v>0</v>
      </c>
      <c r="B1022" s="6" t="s">
        <v>6110</v>
      </c>
      <c r="C1022" s="7">
        <v>1560</v>
      </c>
      <c r="D1022" s="8" t="s">
        <v>6111</v>
      </c>
      <c r="E1022" s="8" t="s">
        <v>6112</v>
      </c>
      <c r="F1022" s="8" t="s">
        <v>6113</v>
      </c>
      <c r="G1022" s="6" t="s">
        <v>81</v>
      </c>
      <c r="H1022" s="6" t="s">
        <v>39</v>
      </c>
      <c r="I1022" s="8"/>
      <c r="J1022" s="9">
        <v>1</v>
      </c>
      <c r="K1022" s="9">
        <v>232</v>
      </c>
      <c r="L1022" s="9">
        <v>2021</v>
      </c>
      <c r="M1022" s="8" t="s">
        <v>6114</v>
      </c>
      <c r="N1022" s="8" t="s">
        <v>284</v>
      </c>
      <c r="O1022" s="8" t="s">
        <v>285</v>
      </c>
      <c r="P1022" s="6" t="s">
        <v>44</v>
      </c>
      <c r="Q1022" s="8" t="s">
        <v>45</v>
      </c>
      <c r="R1022" s="10" t="s">
        <v>6115</v>
      </c>
      <c r="S1022" s="11"/>
      <c r="T1022" s="6"/>
      <c r="U1022" s="24" t="str">
        <f>HYPERLINK("https://media.infra-m.ru/1473/1473437/cover/1473437.jpg", "Обложка")</f>
        <v>Обложка</v>
      </c>
      <c r="V1022" s="24" t="str">
        <f>HYPERLINK("https://znanium.ru/catalog/product/1240276", "Ознакомиться")</f>
        <v>Ознакомиться</v>
      </c>
      <c r="W1022" s="8" t="s">
        <v>6116</v>
      </c>
      <c r="X1022" s="6"/>
      <c r="Y1022" s="6"/>
      <c r="Z1022" s="6"/>
      <c r="AA1022" s="6" t="s">
        <v>199</v>
      </c>
      <c r="AB1022" s="8"/>
    </row>
    <row r="1023" spans="1:28" s="4" customFormat="1" ht="51.95" customHeight="1">
      <c r="A1023" s="5">
        <v>0</v>
      </c>
      <c r="B1023" s="6" t="s">
        <v>6117</v>
      </c>
      <c r="C1023" s="13">
        <v>900</v>
      </c>
      <c r="D1023" s="8" t="s">
        <v>6118</v>
      </c>
      <c r="E1023" s="8" t="s">
        <v>6119</v>
      </c>
      <c r="F1023" s="8" t="s">
        <v>6120</v>
      </c>
      <c r="G1023" s="6" t="s">
        <v>81</v>
      </c>
      <c r="H1023" s="6" t="s">
        <v>39</v>
      </c>
      <c r="I1023" s="8" t="s">
        <v>40</v>
      </c>
      <c r="J1023" s="9">
        <v>1</v>
      </c>
      <c r="K1023" s="9">
        <v>164</v>
      </c>
      <c r="L1023" s="9">
        <v>2024</v>
      </c>
      <c r="M1023" s="8" t="s">
        <v>6121</v>
      </c>
      <c r="N1023" s="8" t="s">
        <v>284</v>
      </c>
      <c r="O1023" s="8" t="s">
        <v>312</v>
      </c>
      <c r="P1023" s="6" t="s">
        <v>44</v>
      </c>
      <c r="Q1023" s="8" t="s">
        <v>45</v>
      </c>
      <c r="R1023" s="10" t="s">
        <v>6122</v>
      </c>
      <c r="S1023" s="11"/>
      <c r="T1023" s="6"/>
      <c r="U1023" s="24" t="str">
        <f>HYPERLINK("https://media.infra-m.ru/2098/2098521/cover/2098521.jpg", "Обложка")</f>
        <v>Обложка</v>
      </c>
      <c r="V1023" s="24" t="str">
        <f>HYPERLINK("https://znanium.ru/catalog/product/2098521", "Ознакомиться")</f>
        <v>Ознакомиться</v>
      </c>
      <c r="W1023" s="8" t="s">
        <v>6123</v>
      </c>
      <c r="X1023" s="6"/>
      <c r="Y1023" s="6"/>
      <c r="Z1023" s="6"/>
      <c r="AA1023" s="6" t="s">
        <v>76</v>
      </c>
      <c r="AB1023" s="8"/>
    </row>
    <row r="1024" spans="1:28" s="4" customFormat="1" ht="44.1" customHeight="1">
      <c r="A1024" s="5">
        <v>0</v>
      </c>
      <c r="B1024" s="6" t="s">
        <v>6124</v>
      </c>
      <c r="C1024" s="13">
        <v>984</v>
      </c>
      <c r="D1024" s="8" t="s">
        <v>6125</v>
      </c>
      <c r="E1024" s="8" t="s">
        <v>6126</v>
      </c>
      <c r="F1024" s="8" t="s">
        <v>6127</v>
      </c>
      <c r="G1024" s="6" t="s">
        <v>38</v>
      </c>
      <c r="H1024" s="6" t="s">
        <v>39</v>
      </c>
      <c r="I1024" s="8" t="s">
        <v>40</v>
      </c>
      <c r="J1024" s="9">
        <v>1</v>
      </c>
      <c r="K1024" s="9">
        <v>163</v>
      </c>
      <c r="L1024" s="9">
        <v>2024</v>
      </c>
      <c r="M1024" s="8" t="s">
        <v>6128</v>
      </c>
      <c r="N1024" s="8" t="s">
        <v>42</v>
      </c>
      <c r="O1024" s="8" t="s">
        <v>101</v>
      </c>
      <c r="P1024" s="6" t="s">
        <v>44</v>
      </c>
      <c r="Q1024" s="8" t="s">
        <v>45</v>
      </c>
      <c r="R1024" s="10" t="s">
        <v>6129</v>
      </c>
      <c r="S1024" s="11"/>
      <c r="T1024" s="6"/>
      <c r="U1024" s="24" t="str">
        <f>HYPERLINK("https://media.infra-m.ru/2139/2139177/cover/2139177.jpg", "Обложка")</f>
        <v>Обложка</v>
      </c>
      <c r="V1024" s="24" t="str">
        <f>HYPERLINK("https://znanium.ru/catalog/product/2139177", "Ознакомиться")</f>
        <v>Ознакомиться</v>
      </c>
      <c r="W1024" s="8" t="s">
        <v>6130</v>
      </c>
      <c r="X1024" s="6"/>
      <c r="Y1024" s="6"/>
      <c r="Z1024" s="6"/>
      <c r="AA1024" s="6" t="s">
        <v>58</v>
      </c>
      <c r="AB1024" s="8"/>
    </row>
    <row r="1025" spans="1:28" s="4" customFormat="1" ht="51.95" customHeight="1">
      <c r="A1025" s="5">
        <v>0</v>
      </c>
      <c r="B1025" s="6" t="s">
        <v>6131</v>
      </c>
      <c r="C1025" s="7">
        <v>2297.9</v>
      </c>
      <c r="D1025" s="8" t="s">
        <v>6132</v>
      </c>
      <c r="E1025" s="8" t="s">
        <v>6133</v>
      </c>
      <c r="F1025" s="8" t="s">
        <v>6134</v>
      </c>
      <c r="G1025" s="6" t="s">
        <v>132</v>
      </c>
      <c r="H1025" s="6" t="s">
        <v>39</v>
      </c>
      <c r="I1025" s="8" t="s">
        <v>1525</v>
      </c>
      <c r="J1025" s="9">
        <v>1</v>
      </c>
      <c r="K1025" s="9">
        <v>491</v>
      </c>
      <c r="L1025" s="9">
        <v>2022</v>
      </c>
      <c r="M1025" s="8" t="s">
        <v>6135</v>
      </c>
      <c r="N1025" s="8" t="s">
        <v>42</v>
      </c>
      <c r="O1025" s="8" t="s">
        <v>246</v>
      </c>
      <c r="P1025" s="6" t="s">
        <v>44</v>
      </c>
      <c r="Q1025" s="8" t="s">
        <v>416</v>
      </c>
      <c r="R1025" s="10" t="s">
        <v>6136</v>
      </c>
      <c r="S1025" s="11"/>
      <c r="T1025" s="6"/>
      <c r="U1025" s="24" t="str">
        <f>HYPERLINK("https://media.infra-m.ru/1841/1841677/cover/1841677.jpg", "Обложка")</f>
        <v>Обложка</v>
      </c>
      <c r="V1025" s="24" t="str">
        <f>HYPERLINK("https://znanium.ru/catalog/product/1018283", "Ознакомиться")</f>
        <v>Ознакомиться</v>
      </c>
      <c r="W1025" s="8" t="s">
        <v>2991</v>
      </c>
      <c r="X1025" s="6"/>
      <c r="Y1025" s="6"/>
      <c r="Z1025" s="6"/>
      <c r="AA1025" s="6" t="s">
        <v>94</v>
      </c>
      <c r="AB1025" s="8"/>
    </row>
    <row r="1026" spans="1:28" s="4" customFormat="1" ht="42" customHeight="1">
      <c r="A1026" s="5">
        <v>0</v>
      </c>
      <c r="B1026" s="6" t="s">
        <v>6137</v>
      </c>
      <c r="C1026" s="7">
        <v>1404</v>
      </c>
      <c r="D1026" s="8" t="s">
        <v>6138</v>
      </c>
      <c r="E1026" s="8" t="s">
        <v>6139</v>
      </c>
      <c r="F1026" s="8" t="s">
        <v>6140</v>
      </c>
      <c r="G1026" s="6" t="s">
        <v>38</v>
      </c>
      <c r="H1026" s="6" t="s">
        <v>39</v>
      </c>
      <c r="I1026" s="8" t="s">
        <v>40</v>
      </c>
      <c r="J1026" s="9">
        <v>1</v>
      </c>
      <c r="K1026" s="9">
        <v>248</v>
      </c>
      <c r="L1026" s="9">
        <v>2024</v>
      </c>
      <c r="M1026" s="8" t="s">
        <v>6141</v>
      </c>
      <c r="N1026" s="8" t="s">
        <v>42</v>
      </c>
      <c r="O1026" s="8" t="s">
        <v>189</v>
      </c>
      <c r="P1026" s="6" t="s">
        <v>44</v>
      </c>
      <c r="Q1026" s="8" t="s">
        <v>45</v>
      </c>
      <c r="R1026" s="10" t="s">
        <v>6142</v>
      </c>
      <c r="S1026" s="11"/>
      <c r="T1026" s="6"/>
      <c r="U1026" s="24" t="str">
        <f>HYPERLINK("https://media.infra-m.ru/2099/2099010/cover/2099010.jpg", "Обложка")</f>
        <v>Обложка</v>
      </c>
      <c r="V1026" s="24" t="str">
        <f>HYPERLINK("https://znanium.ru/catalog/product/2099010", "Ознакомиться")</f>
        <v>Ознакомиться</v>
      </c>
      <c r="W1026" s="8" t="s">
        <v>2080</v>
      </c>
      <c r="X1026" s="6"/>
      <c r="Y1026" s="6"/>
      <c r="Z1026" s="6"/>
      <c r="AA1026" s="6" t="s">
        <v>58</v>
      </c>
      <c r="AB1026" s="8"/>
    </row>
    <row r="1027" spans="1:28" s="4" customFormat="1" ht="51.95" customHeight="1">
      <c r="A1027" s="5">
        <v>0</v>
      </c>
      <c r="B1027" s="6" t="s">
        <v>6143</v>
      </c>
      <c r="C1027" s="7">
        <v>1656</v>
      </c>
      <c r="D1027" s="8" t="s">
        <v>6144</v>
      </c>
      <c r="E1027" s="8" t="s">
        <v>6145</v>
      </c>
      <c r="F1027" s="8" t="s">
        <v>6146</v>
      </c>
      <c r="G1027" s="6" t="s">
        <v>81</v>
      </c>
      <c r="H1027" s="6" t="s">
        <v>39</v>
      </c>
      <c r="I1027" s="8" t="s">
        <v>344</v>
      </c>
      <c r="J1027" s="9">
        <v>1</v>
      </c>
      <c r="K1027" s="9">
        <v>260</v>
      </c>
      <c r="L1027" s="9">
        <v>2026</v>
      </c>
      <c r="M1027" s="8" t="s">
        <v>6147</v>
      </c>
      <c r="N1027" s="8" t="s">
        <v>284</v>
      </c>
      <c r="O1027" s="8" t="s">
        <v>1549</v>
      </c>
      <c r="P1027" s="6" t="s">
        <v>44</v>
      </c>
      <c r="Q1027" s="8" t="s">
        <v>45</v>
      </c>
      <c r="R1027" s="10" t="s">
        <v>6148</v>
      </c>
      <c r="S1027" s="11"/>
      <c r="T1027" s="6"/>
      <c r="U1027" s="24" t="str">
        <f>HYPERLINK("https://media.infra-m.ru/2218/2218840/cover/2218840.jpg", "Обложка")</f>
        <v>Обложка</v>
      </c>
      <c r="V1027" s="12"/>
      <c r="W1027" s="8" t="s">
        <v>346</v>
      </c>
      <c r="X1027" s="6"/>
      <c r="Y1027" s="6"/>
      <c r="Z1027" s="6"/>
      <c r="AA1027" s="6" t="s">
        <v>68</v>
      </c>
      <c r="AB1027" s="8"/>
    </row>
    <row r="1028" spans="1:28" s="4" customFormat="1" ht="42" customHeight="1">
      <c r="A1028" s="5">
        <v>0</v>
      </c>
      <c r="B1028" s="6" t="s">
        <v>6149</v>
      </c>
      <c r="C1028" s="13">
        <v>568.79999999999995</v>
      </c>
      <c r="D1028" s="8" t="s">
        <v>6150</v>
      </c>
      <c r="E1028" s="8" t="s">
        <v>6151</v>
      </c>
      <c r="F1028" s="8" t="s">
        <v>6152</v>
      </c>
      <c r="G1028" s="6" t="s">
        <v>38</v>
      </c>
      <c r="H1028" s="6" t="s">
        <v>39</v>
      </c>
      <c r="I1028" s="8" t="s">
        <v>40</v>
      </c>
      <c r="J1028" s="9">
        <v>1</v>
      </c>
      <c r="K1028" s="9">
        <v>96</v>
      </c>
      <c r="L1028" s="9">
        <v>2024</v>
      </c>
      <c r="M1028" s="8" t="s">
        <v>6153</v>
      </c>
      <c r="N1028" s="8" t="s">
        <v>42</v>
      </c>
      <c r="O1028" s="8" t="s">
        <v>189</v>
      </c>
      <c r="P1028" s="6" t="s">
        <v>44</v>
      </c>
      <c r="Q1028" s="8" t="s">
        <v>45</v>
      </c>
      <c r="R1028" s="10" t="s">
        <v>1028</v>
      </c>
      <c r="S1028" s="11"/>
      <c r="T1028" s="6"/>
      <c r="U1028" s="24" t="str">
        <f>HYPERLINK("https://media.infra-m.ru/2140/2140706/cover/2140706.jpg", "Обложка")</f>
        <v>Обложка</v>
      </c>
      <c r="V1028" s="24" t="str">
        <f>HYPERLINK("https://znanium.ru/catalog/product/2140706", "Ознакомиться")</f>
        <v>Ознакомиться</v>
      </c>
      <c r="W1028" s="8" t="s">
        <v>6154</v>
      </c>
      <c r="X1028" s="6"/>
      <c r="Y1028" s="6"/>
      <c r="Z1028" s="6"/>
      <c r="AA1028" s="6" t="s">
        <v>68</v>
      </c>
      <c r="AB1028" s="8"/>
    </row>
    <row r="1029" spans="1:28" s="4" customFormat="1" ht="44.1" customHeight="1">
      <c r="A1029" s="5">
        <v>0</v>
      </c>
      <c r="B1029" s="6" t="s">
        <v>6155</v>
      </c>
      <c r="C1029" s="7">
        <v>1829.9</v>
      </c>
      <c r="D1029" s="8" t="s">
        <v>6156</v>
      </c>
      <c r="E1029" s="8" t="s">
        <v>6157</v>
      </c>
      <c r="F1029" s="8" t="s">
        <v>6158</v>
      </c>
      <c r="G1029" s="6" t="s">
        <v>38</v>
      </c>
      <c r="H1029" s="6" t="s">
        <v>39</v>
      </c>
      <c r="I1029" s="8" t="s">
        <v>40</v>
      </c>
      <c r="J1029" s="9">
        <v>1</v>
      </c>
      <c r="K1029" s="9">
        <v>338</v>
      </c>
      <c r="L1029" s="9">
        <v>2023</v>
      </c>
      <c r="M1029" s="8" t="s">
        <v>6159</v>
      </c>
      <c r="N1029" s="8" t="s">
        <v>42</v>
      </c>
      <c r="O1029" s="8" t="s">
        <v>246</v>
      </c>
      <c r="P1029" s="6" t="s">
        <v>44</v>
      </c>
      <c r="Q1029" s="8" t="s">
        <v>45</v>
      </c>
      <c r="R1029" s="10" t="s">
        <v>1036</v>
      </c>
      <c r="S1029" s="11"/>
      <c r="T1029" s="6"/>
      <c r="U1029" s="24" t="str">
        <f>HYPERLINK("https://media.infra-m.ru/1965/1965767/cover/1965767.jpg", "Обложка")</f>
        <v>Обложка</v>
      </c>
      <c r="V1029" s="24" t="str">
        <f>HYPERLINK("https://znanium.ru/catalog/product/1021947", "Ознакомиться")</f>
        <v>Ознакомиться</v>
      </c>
      <c r="W1029" s="8" t="s">
        <v>167</v>
      </c>
      <c r="X1029" s="6"/>
      <c r="Y1029" s="6"/>
      <c r="Z1029" s="6"/>
      <c r="AA1029" s="6" t="s">
        <v>76</v>
      </c>
      <c r="AB1029" s="8"/>
    </row>
    <row r="1030" spans="1:28" s="4" customFormat="1" ht="51.95" customHeight="1">
      <c r="A1030" s="5">
        <v>0</v>
      </c>
      <c r="B1030" s="6" t="s">
        <v>6160</v>
      </c>
      <c r="C1030" s="13">
        <v>996</v>
      </c>
      <c r="D1030" s="8" t="s">
        <v>6161</v>
      </c>
      <c r="E1030" s="8" t="s">
        <v>6162</v>
      </c>
      <c r="F1030" s="8" t="s">
        <v>6163</v>
      </c>
      <c r="G1030" s="6" t="s">
        <v>81</v>
      </c>
      <c r="H1030" s="6" t="s">
        <v>99</v>
      </c>
      <c r="I1030" s="8"/>
      <c r="J1030" s="9">
        <v>1</v>
      </c>
      <c r="K1030" s="9">
        <v>160</v>
      </c>
      <c r="L1030" s="9">
        <v>2025</v>
      </c>
      <c r="M1030" s="8" t="s">
        <v>6164</v>
      </c>
      <c r="N1030" s="8" t="s">
        <v>42</v>
      </c>
      <c r="O1030" s="8" t="s">
        <v>246</v>
      </c>
      <c r="P1030" s="6" t="s">
        <v>44</v>
      </c>
      <c r="Q1030" s="8" t="s">
        <v>45</v>
      </c>
      <c r="R1030" s="10" t="s">
        <v>360</v>
      </c>
      <c r="S1030" s="11"/>
      <c r="T1030" s="6"/>
      <c r="U1030" s="24" t="str">
        <f>HYPERLINK("https://media.infra-m.ru/2197/2197253/cover/2197253.jpg", "Обложка")</f>
        <v>Обложка</v>
      </c>
      <c r="V1030" s="24" t="str">
        <f>HYPERLINK("https://znanium.ru/catalog/product/2229653", "Ознакомиться")</f>
        <v>Ознакомиться</v>
      </c>
      <c r="W1030" s="8" t="s">
        <v>3715</v>
      </c>
      <c r="X1030" s="6"/>
      <c r="Y1030" s="6"/>
      <c r="Z1030" s="6"/>
      <c r="AA1030" s="6" t="s">
        <v>68</v>
      </c>
      <c r="AB1030" s="8"/>
    </row>
    <row r="1031" spans="1:28" s="4" customFormat="1" ht="42" customHeight="1">
      <c r="A1031" s="5">
        <v>0</v>
      </c>
      <c r="B1031" s="6" t="s">
        <v>6165</v>
      </c>
      <c r="C1031" s="7">
        <v>1072.8</v>
      </c>
      <c r="D1031" s="8" t="s">
        <v>6166</v>
      </c>
      <c r="E1031" s="8" t="s">
        <v>6167</v>
      </c>
      <c r="F1031" s="8" t="s">
        <v>6168</v>
      </c>
      <c r="G1031" s="6" t="s">
        <v>38</v>
      </c>
      <c r="H1031" s="6" t="s">
        <v>39</v>
      </c>
      <c r="I1031" s="8" t="s">
        <v>344</v>
      </c>
      <c r="J1031" s="9">
        <v>1</v>
      </c>
      <c r="K1031" s="9">
        <v>168</v>
      </c>
      <c r="L1031" s="9">
        <v>2026</v>
      </c>
      <c r="M1031" s="8" t="s">
        <v>6169</v>
      </c>
      <c r="N1031" s="8" t="s">
        <v>42</v>
      </c>
      <c r="O1031" s="8" t="s">
        <v>1315</v>
      </c>
      <c r="P1031" s="6" t="s">
        <v>44</v>
      </c>
      <c r="Q1031" s="8" t="s">
        <v>45</v>
      </c>
      <c r="R1031" s="10" t="s">
        <v>6170</v>
      </c>
      <c r="S1031" s="11"/>
      <c r="T1031" s="6"/>
      <c r="U1031" s="24" t="str">
        <f>HYPERLINK("https://media.infra-m.ru/2219/2219573/cover/2219573.jpg", "Обложка")</f>
        <v>Обложка</v>
      </c>
      <c r="V1031" s="12"/>
      <c r="W1031" s="8" t="s">
        <v>346</v>
      </c>
      <c r="X1031" s="6"/>
      <c r="Y1031" s="6"/>
      <c r="Z1031" s="6"/>
      <c r="AA1031" s="6" t="s">
        <v>369</v>
      </c>
      <c r="AB1031" s="8"/>
    </row>
    <row r="1032" spans="1:28" s="4" customFormat="1" ht="51.95" customHeight="1">
      <c r="A1032" s="5">
        <v>0</v>
      </c>
      <c r="B1032" s="6" t="s">
        <v>6171</v>
      </c>
      <c r="C1032" s="7">
        <v>1068</v>
      </c>
      <c r="D1032" s="8" t="s">
        <v>6172</v>
      </c>
      <c r="E1032" s="8" t="s">
        <v>6173</v>
      </c>
      <c r="F1032" s="8" t="s">
        <v>1054</v>
      </c>
      <c r="G1032" s="6" t="s">
        <v>38</v>
      </c>
      <c r="H1032" s="6" t="s">
        <v>39</v>
      </c>
      <c r="I1032" s="8" t="s">
        <v>40</v>
      </c>
      <c r="J1032" s="9">
        <v>1</v>
      </c>
      <c r="K1032" s="9">
        <v>176</v>
      </c>
      <c r="L1032" s="9">
        <v>2023</v>
      </c>
      <c r="M1032" s="8" t="s">
        <v>6174</v>
      </c>
      <c r="N1032" s="8" t="s">
        <v>220</v>
      </c>
      <c r="O1032" s="8" t="s">
        <v>252</v>
      </c>
      <c r="P1032" s="6" t="s">
        <v>44</v>
      </c>
      <c r="Q1032" s="8" t="s">
        <v>45</v>
      </c>
      <c r="R1032" s="10" t="s">
        <v>6175</v>
      </c>
      <c r="S1032" s="11"/>
      <c r="T1032" s="6"/>
      <c r="U1032" s="24" t="str">
        <f>HYPERLINK("https://media.infra-m.ru/1959/1959258/cover/1959258.jpg", "Обложка")</f>
        <v>Обложка</v>
      </c>
      <c r="V1032" s="24" t="str">
        <f>HYPERLINK("https://znanium.ru/catalog/product/1959258", "Ознакомиться")</f>
        <v>Ознакомиться</v>
      </c>
      <c r="W1032" s="8" t="s">
        <v>1060</v>
      </c>
      <c r="X1032" s="6"/>
      <c r="Y1032" s="6"/>
      <c r="Z1032" s="6"/>
      <c r="AA1032" s="6" t="s">
        <v>168</v>
      </c>
      <c r="AB1032" s="8" t="s">
        <v>1902</v>
      </c>
    </row>
    <row r="1033" spans="1:28" s="4" customFormat="1" ht="51.95" customHeight="1">
      <c r="A1033" s="5">
        <v>0</v>
      </c>
      <c r="B1033" s="6" t="s">
        <v>6176</v>
      </c>
      <c r="C1033" s="7">
        <v>1644</v>
      </c>
      <c r="D1033" s="8" t="s">
        <v>6177</v>
      </c>
      <c r="E1033" s="8" t="s">
        <v>6178</v>
      </c>
      <c r="F1033" s="8" t="s">
        <v>6179</v>
      </c>
      <c r="G1033" s="6" t="s">
        <v>38</v>
      </c>
      <c r="H1033" s="6" t="s">
        <v>39</v>
      </c>
      <c r="I1033" s="8" t="s">
        <v>40</v>
      </c>
      <c r="J1033" s="9">
        <v>1</v>
      </c>
      <c r="K1033" s="9">
        <v>304</v>
      </c>
      <c r="L1033" s="9">
        <v>2023</v>
      </c>
      <c r="M1033" s="8" t="s">
        <v>6180</v>
      </c>
      <c r="N1033" s="8" t="s">
        <v>42</v>
      </c>
      <c r="O1033" s="8" t="s">
        <v>246</v>
      </c>
      <c r="P1033" s="6" t="s">
        <v>44</v>
      </c>
      <c r="Q1033" s="8" t="s">
        <v>45</v>
      </c>
      <c r="R1033" s="10" t="s">
        <v>3997</v>
      </c>
      <c r="S1033" s="11"/>
      <c r="T1033" s="6"/>
      <c r="U1033" s="24" t="str">
        <f>HYPERLINK("https://media.infra-m.ru/1875/1875454/cover/1875454.jpg", "Обложка")</f>
        <v>Обложка</v>
      </c>
      <c r="V1033" s="24" t="str">
        <f>HYPERLINK("https://znanium.ru/catalog/product/1875454", "Ознакомиться")</f>
        <v>Ознакомиться</v>
      </c>
      <c r="W1033" s="8" t="s">
        <v>167</v>
      </c>
      <c r="X1033" s="6"/>
      <c r="Y1033" s="6"/>
      <c r="Z1033" s="6"/>
      <c r="AA1033" s="6" t="s">
        <v>119</v>
      </c>
      <c r="AB1033" s="8"/>
    </row>
    <row r="1034" spans="1:28" s="4" customFormat="1" ht="51.95" customHeight="1">
      <c r="A1034" s="5">
        <v>0</v>
      </c>
      <c r="B1034" s="6" t="s">
        <v>6181</v>
      </c>
      <c r="C1034" s="7">
        <v>2088</v>
      </c>
      <c r="D1034" s="8" t="s">
        <v>6182</v>
      </c>
      <c r="E1034" s="8" t="s">
        <v>6183</v>
      </c>
      <c r="F1034" s="8" t="s">
        <v>6184</v>
      </c>
      <c r="G1034" s="6" t="s">
        <v>38</v>
      </c>
      <c r="H1034" s="6" t="s">
        <v>39</v>
      </c>
      <c r="I1034" s="8" t="s">
        <v>40</v>
      </c>
      <c r="J1034" s="9">
        <v>1</v>
      </c>
      <c r="K1034" s="9">
        <v>347</v>
      </c>
      <c r="L1034" s="9">
        <v>2024</v>
      </c>
      <c r="M1034" s="8" t="s">
        <v>6185</v>
      </c>
      <c r="N1034" s="8" t="s">
        <v>284</v>
      </c>
      <c r="O1034" s="8" t="s">
        <v>383</v>
      </c>
      <c r="P1034" s="6" t="s">
        <v>44</v>
      </c>
      <c r="Q1034" s="8" t="s">
        <v>45</v>
      </c>
      <c r="R1034" s="10" t="s">
        <v>6186</v>
      </c>
      <c r="S1034" s="11"/>
      <c r="T1034" s="6"/>
      <c r="U1034" s="24" t="str">
        <f>HYPERLINK("https://media.infra-m.ru/2156/2156075/cover/2156075.jpg", "Обложка")</f>
        <v>Обложка</v>
      </c>
      <c r="V1034" s="24" t="str">
        <f>HYPERLINK("https://znanium.ru/catalog/product/2156075", "Ознакомиться")</f>
        <v>Ознакомиться</v>
      </c>
      <c r="W1034" s="8" t="s">
        <v>6187</v>
      </c>
      <c r="X1034" s="6"/>
      <c r="Y1034" s="6"/>
      <c r="Z1034" s="6"/>
      <c r="AA1034" s="6" t="s">
        <v>119</v>
      </c>
      <c r="AB1034" s="8" t="s">
        <v>1697</v>
      </c>
    </row>
    <row r="1035" spans="1:28" s="4" customFormat="1" ht="42" customHeight="1">
      <c r="A1035" s="5">
        <v>0</v>
      </c>
      <c r="B1035" s="6" t="s">
        <v>6188</v>
      </c>
      <c r="C1035" s="13">
        <v>948</v>
      </c>
      <c r="D1035" s="8" t="s">
        <v>6189</v>
      </c>
      <c r="E1035" s="8" t="s">
        <v>6190</v>
      </c>
      <c r="F1035" s="8" t="s">
        <v>6191</v>
      </c>
      <c r="G1035" s="6" t="s">
        <v>81</v>
      </c>
      <c r="H1035" s="6" t="s">
        <v>39</v>
      </c>
      <c r="I1035" s="8" t="s">
        <v>40</v>
      </c>
      <c r="J1035" s="9">
        <v>1</v>
      </c>
      <c r="K1035" s="9">
        <v>202</v>
      </c>
      <c r="L1035" s="9">
        <v>2022</v>
      </c>
      <c r="M1035" s="8" t="s">
        <v>6192</v>
      </c>
      <c r="N1035" s="8" t="s">
        <v>42</v>
      </c>
      <c r="O1035" s="8" t="s">
        <v>189</v>
      </c>
      <c r="P1035" s="6" t="s">
        <v>44</v>
      </c>
      <c r="Q1035" s="8" t="s">
        <v>45</v>
      </c>
      <c r="R1035" s="10" t="s">
        <v>2503</v>
      </c>
      <c r="S1035" s="11"/>
      <c r="T1035" s="6"/>
      <c r="U1035" s="24" t="str">
        <f>HYPERLINK("https://media.infra-m.ru/1739/1739247/cover/1739247.jpg", "Обложка")</f>
        <v>Обложка</v>
      </c>
      <c r="V1035" s="24" t="str">
        <f>HYPERLINK("https://znanium.ru/catalog/product/1739247", "Ознакомиться")</f>
        <v>Ознакомиться</v>
      </c>
      <c r="W1035" s="8" t="s">
        <v>5142</v>
      </c>
      <c r="X1035" s="6"/>
      <c r="Y1035" s="6"/>
      <c r="Z1035" s="6"/>
      <c r="AA1035" s="6" t="s">
        <v>68</v>
      </c>
      <c r="AB1035" s="8"/>
    </row>
    <row r="1036" spans="1:28" s="4" customFormat="1" ht="44.1" customHeight="1">
      <c r="A1036" s="5">
        <v>0</v>
      </c>
      <c r="B1036" s="6" t="s">
        <v>6193</v>
      </c>
      <c r="C1036" s="7">
        <v>1032</v>
      </c>
      <c r="D1036" s="8" t="s">
        <v>6194</v>
      </c>
      <c r="E1036" s="8" t="s">
        <v>6195</v>
      </c>
      <c r="F1036" s="8" t="s">
        <v>6196</v>
      </c>
      <c r="G1036" s="6" t="s">
        <v>38</v>
      </c>
      <c r="H1036" s="6" t="s">
        <v>39</v>
      </c>
      <c r="I1036" s="8" t="s">
        <v>40</v>
      </c>
      <c r="J1036" s="9">
        <v>1</v>
      </c>
      <c r="K1036" s="9">
        <v>276</v>
      </c>
      <c r="L1036" s="9">
        <v>2019</v>
      </c>
      <c r="M1036" s="8" t="s">
        <v>6197</v>
      </c>
      <c r="N1036" s="8" t="s">
        <v>284</v>
      </c>
      <c r="O1036" s="8" t="s">
        <v>383</v>
      </c>
      <c r="P1036" s="6" t="s">
        <v>44</v>
      </c>
      <c r="Q1036" s="8" t="s">
        <v>45</v>
      </c>
      <c r="R1036" s="10" t="s">
        <v>6198</v>
      </c>
      <c r="S1036" s="11"/>
      <c r="T1036" s="6"/>
      <c r="U1036" s="24" t="str">
        <f>HYPERLINK("https://media.infra-m.ru/0982/0982547/cover/982547.jpg", "Обложка")</f>
        <v>Обложка</v>
      </c>
      <c r="V1036" s="24" t="str">
        <f>HYPERLINK("https://znanium.ru/catalog/product/982547", "Ознакомиться")</f>
        <v>Ознакомиться</v>
      </c>
      <c r="W1036" s="8" t="s">
        <v>191</v>
      </c>
      <c r="X1036" s="6"/>
      <c r="Y1036" s="6"/>
      <c r="Z1036" s="6"/>
      <c r="AA1036" s="6" t="s">
        <v>127</v>
      </c>
      <c r="AB1036" s="8"/>
    </row>
    <row r="1037" spans="1:28" s="4" customFormat="1" ht="51.95" customHeight="1">
      <c r="A1037" s="5">
        <v>0</v>
      </c>
      <c r="B1037" s="6" t="s">
        <v>6199</v>
      </c>
      <c r="C1037" s="7">
        <v>1188</v>
      </c>
      <c r="D1037" s="8" t="s">
        <v>6200</v>
      </c>
      <c r="E1037" s="8" t="s">
        <v>6201</v>
      </c>
      <c r="F1037" s="8" t="s">
        <v>6202</v>
      </c>
      <c r="G1037" s="6" t="s">
        <v>132</v>
      </c>
      <c r="H1037" s="6" t="s">
        <v>99</v>
      </c>
      <c r="I1037" s="8"/>
      <c r="J1037" s="9">
        <v>1</v>
      </c>
      <c r="K1037" s="9">
        <v>128</v>
      </c>
      <c r="L1037" s="9">
        <v>2023</v>
      </c>
      <c r="M1037" s="8" t="s">
        <v>6203</v>
      </c>
      <c r="N1037" s="8" t="s">
        <v>42</v>
      </c>
      <c r="O1037" s="8" t="s">
        <v>101</v>
      </c>
      <c r="P1037" s="6" t="s">
        <v>44</v>
      </c>
      <c r="Q1037" s="8" t="s">
        <v>45</v>
      </c>
      <c r="R1037" s="10" t="s">
        <v>6204</v>
      </c>
      <c r="S1037" s="11"/>
      <c r="T1037" s="6"/>
      <c r="U1037" s="24" t="str">
        <f>HYPERLINK("https://media.infra-m.ru/2022/2022201/cover/2022201.jpg", "Обложка")</f>
        <v>Обложка</v>
      </c>
      <c r="V1037" s="24" t="str">
        <f>HYPERLINK("https://znanium.ru/catalog/product/1983248", "Ознакомиться")</f>
        <v>Ознакомиться</v>
      </c>
      <c r="W1037" s="8"/>
      <c r="X1037" s="6"/>
      <c r="Y1037" s="6"/>
      <c r="Z1037" s="6"/>
      <c r="AA1037" s="6" t="s">
        <v>119</v>
      </c>
      <c r="AB1037" s="8"/>
    </row>
    <row r="1038" spans="1:28" s="4" customFormat="1" ht="44.1" customHeight="1">
      <c r="A1038" s="5">
        <v>0</v>
      </c>
      <c r="B1038" s="6" t="s">
        <v>6205</v>
      </c>
      <c r="C1038" s="7">
        <v>2165.9</v>
      </c>
      <c r="D1038" s="8" t="s">
        <v>6206</v>
      </c>
      <c r="E1038" s="8" t="s">
        <v>6207</v>
      </c>
      <c r="F1038" s="8" t="s">
        <v>6208</v>
      </c>
      <c r="G1038" s="6" t="s">
        <v>132</v>
      </c>
      <c r="H1038" s="6" t="s">
        <v>99</v>
      </c>
      <c r="I1038" s="8"/>
      <c r="J1038" s="9">
        <v>1</v>
      </c>
      <c r="K1038" s="9">
        <v>464</v>
      </c>
      <c r="L1038" s="9">
        <v>2022</v>
      </c>
      <c r="M1038" s="8" t="s">
        <v>6209</v>
      </c>
      <c r="N1038" s="8" t="s">
        <v>42</v>
      </c>
      <c r="O1038" s="8" t="s">
        <v>101</v>
      </c>
      <c r="P1038" s="6" t="s">
        <v>44</v>
      </c>
      <c r="Q1038" s="8" t="s">
        <v>45</v>
      </c>
      <c r="R1038" s="10" t="s">
        <v>1587</v>
      </c>
      <c r="S1038" s="11"/>
      <c r="T1038" s="6"/>
      <c r="U1038" s="24" t="str">
        <f>HYPERLINK("https://media.infra-m.ru/1837/1837927/cover/1837927.jpg", "Обложка")</f>
        <v>Обложка</v>
      </c>
      <c r="V1038" s="24" t="str">
        <f>HYPERLINK("https://znanium.ru/catalog/product/1837927", "Ознакомиться")</f>
        <v>Ознакомиться</v>
      </c>
      <c r="W1038" s="8" t="s">
        <v>1627</v>
      </c>
      <c r="X1038" s="6"/>
      <c r="Y1038" s="6"/>
      <c r="Z1038" s="6"/>
      <c r="AA1038" s="6" t="s">
        <v>1154</v>
      </c>
      <c r="AB1038" s="8"/>
    </row>
    <row r="1039" spans="1:28" s="4" customFormat="1" ht="42" customHeight="1">
      <c r="A1039" s="5">
        <v>0</v>
      </c>
      <c r="B1039" s="6" t="s">
        <v>6210</v>
      </c>
      <c r="C1039" s="13">
        <v>660</v>
      </c>
      <c r="D1039" s="8" t="s">
        <v>6211</v>
      </c>
      <c r="E1039" s="8" t="s">
        <v>6212</v>
      </c>
      <c r="F1039" s="8" t="s">
        <v>6213</v>
      </c>
      <c r="G1039" s="6" t="s">
        <v>38</v>
      </c>
      <c r="H1039" s="6" t="s">
        <v>39</v>
      </c>
      <c r="I1039" s="8" t="s">
        <v>40</v>
      </c>
      <c r="J1039" s="9">
        <v>1</v>
      </c>
      <c r="K1039" s="9">
        <v>120</v>
      </c>
      <c r="L1039" s="9">
        <v>2024</v>
      </c>
      <c r="M1039" s="8" t="s">
        <v>6214</v>
      </c>
      <c r="N1039" s="8" t="s">
        <v>42</v>
      </c>
      <c r="O1039" s="8" t="s">
        <v>246</v>
      </c>
      <c r="P1039" s="6" t="s">
        <v>44</v>
      </c>
      <c r="Q1039" s="8" t="s">
        <v>45</v>
      </c>
      <c r="R1039" s="10" t="s">
        <v>573</v>
      </c>
      <c r="S1039" s="11"/>
      <c r="T1039" s="6"/>
      <c r="U1039" s="24" t="str">
        <f>HYPERLINK("https://media.infra-m.ru/2117/2117138/cover/2117138.jpg", "Обложка")</f>
        <v>Обложка</v>
      </c>
      <c r="V1039" s="24" t="str">
        <f>HYPERLINK("https://znanium.ru/catalog/product/2117138", "Ознакомиться")</f>
        <v>Ознакомиться</v>
      </c>
      <c r="W1039" s="8" t="s">
        <v>6215</v>
      </c>
      <c r="X1039" s="6"/>
      <c r="Y1039" s="6"/>
      <c r="Z1039" s="6"/>
      <c r="AA1039" s="6" t="s">
        <v>290</v>
      </c>
      <c r="AB1039" s="8"/>
    </row>
    <row r="1040" spans="1:28" s="4" customFormat="1" ht="42" customHeight="1">
      <c r="A1040" s="5">
        <v>0</v>
      </c>
      <c r="B1040" s="6" t="s">
        <v>6216</v>
      </c>
      <c r="C1040" s="13">
        <v>891</v>
      </c>
      <c r="D1040" s="8" t="s">
        <v>6217</v>
      </c>
      <c r="E1040" s="8" t="s">
        <v>6218</v>
      </c>
      <c r="F1040" s="8" t="s">
        <v>6219</v>
      </c>
      <c r="G1040" s="6" t="s">
        <v>132</v>
      </c>
      <c r="H1040" s="6" t="s">
        <v>99</v>
      </c>
      <c r="I1040" s="8"/>
      <c r="J1040" s="9">
        <v>20</v>
      </c>
      <c r="K1040" s="9">
        <v>240</v>
      </c>
      <c r="L1040" s="9">
        <v>2017</v>
      </c>
      <c r="M1040" s="8" t="s">
        <v>6220</v>
      </c>
      <c r="N1040" s="8" t="s">
        <v>42</v>
      </c>
      <c r="O1040" s="8" t="s">
        <v>101</v>
      </c>
      <c r="P1040" s="6" t="s">
        <v>44</v>
      </c>
      <c r="Q1040" s="8" t="s">
        <v>45</v>
      </c>
      <c r="R1040" s="10" t="s">
        <v>564</v>
      </c>
      <c r="S1040" s="11"/>
      <c r="T1040" s="6"/>
      <c r="U1040" s="24" t="str">
        <f>HYPERLINK("https://media.infra-m.ru/2080/2080200/cover/2080200.jpg", "Обложка")</f>
        <v>Обложка</v>
      </c>
      <c r="V1040" s="24" t="str">
        <f>HYPERLINK("https://znanium.ru/catalog/product/988095", "Ознакомиться")</f>
        <v>Ознакомиться</v>
      </c>
      <c r="W1040" s="8" t="s">
        <v>565</v>
      </c>
      <c r="X1040" s="6"/>
      <c r="Y1040" s="6"/>
      <c r="Z1040" s="6"/>
      <c r="AA1040" s="6" t="s">
        <v>339</v>
      </c>
      <c r="AB1040" s="8"/>
    </row>
    <row r="1041" spans="1:28" s="4" customFormat="1" ht="42" customHeight="1">
      <c r="A1041" s="5">
        <v>0</v>
      </c>
      <c r="B1041" s="6" t="s">
        <v>6221</v>
      </c>
      <c r="C1041" s="7">
        <v>1180.8</v>
      </c>
      <c r="D1041" s="8" t="s">
        <v>6222</v>
      </c>
      <c r="E1041" s="8" t="s">
        <v>6223</v>
      </c>
      <c r="F1041" s="8" t="s">
        <v>6224</v>
      </c>
      <c r="G1041" s="6" t="s">
        <v>132</v>
      </c>
      <c r="H1041" s="6" t="s">
        <v>39</v>
      </c>
      <c r="I1041" s="8" t="s">
        <v>40</v>
      </c>
      <c r="J1041" s="9">
        <v>1</v>
      </c>
      <c r="K1041" s="9">
        <v>171</v>
      </c>
      <c r="L1041" s="9">
        <v>2025</v>
      </c>
      <c r="M1041" s="8" t="s">
        <v>6225</v>
      </c>
      <c r="N1041" s="8" t="s">
        <v>42</v>
      </c>
      <c r="O1041" s="8" t="s">
        <v>246</v>
      </c>
      <c r="P1041" s="6" t="s">
        <v>44</v>
      </c>
      <c r="Q1041" s="8" t="s">
        <v>45</v>
      </c>
      <c r="R1041" s="10" t="s">
        <v>6226</v>
      </c>
      <c r="S1041" s="11"/>
      <c r="T1041" s="6"/>
      <c r="U1041" s="24" t="str">
        <f>HYPERLINK("https://media.infra-m.ru/2228/2228038/cover/2228038.jpg", "Обложка")</f>
        <v>Обложка</v>
      </c>
      <c r="V1041" s="24" t="str">
        <f>HYPERLINK("https://znanium.ru/catalog/product/2202381", "Ознакомиться")</f>
        <v>Ознакомиться</v>
      </c>
      <c r="W1041" s="8" t="s">
        <v>346</v>
      </c>
      <c r="X1041" s="6"/>
      <c r="Y1041" s="6"/>
      <c r="Z1041" s="6"/>
      <c r="AA1041" s="6" t="s">
        <v>159</v>
      </c>
      <c r="AB1041" s="8"/>
    </row>
    <row r="1042" spans="1:28" s="4" customFormat="1" ht="42" customHeight="1">
      <c r="A1042" s="5">
        <v>0</v>
      </c>
      <c r="B1042" s="6" t="s">
        <v>6227</v>
      </c>
      <c r="C1042" s="13">
        <v>876</v>
      </c>
      <c r="D1042" s="8" t="s">
        <v>6228</v>
      </c>
      <c r="E1042" s="8" t="s">
        <v>6229</v>
      </c>
      <c r="F1042" s="8" t="s">
        <v>6230</v>
      </c>
      <c r="G1042" s="6" t="s">
        <v>81</v>
      </c>
      <c r="H1042" s="6" t="s">
        <v>39</v>
      </c>
      <c r="I1042" s="8" t="s">
        <v>40</v>
      </c>
      <c r="J1042" s="9">
        <v>1</v>
      </c>
      <c r="K1042" s="9">
        <v>207</v>
      </c>
      <c r="L1042" s="9">
        <v>2020</v>
      </c>
      <c r="M1042" s="8" t="s">
        <v>6231</v>
      </c>
      <c r="N1042" s="8" t="s">
        <v>42</v>
      </c>
      <c r="O1042" s="8" t="s">
        <v>246</v>
      </c>
      <c r="P1042" s="6" t="s">
        <v>44</v>
      </c>
      <c r="Q1042" s="8" t="s">
        <v>45</v>
      </c>
      <c r="R1042" s="10" t="s">
        <v>6232</v>
      </c>
      <c r="S1042" s="11"/>
      <c r="T1042" s="6"/>
      <c r="U1042" s="24" t="str">
        <f>HYPERLINK("https://media.infra-m.ru/1079/1079863/cover/1079863.jpg", "Обложка")</f>
        <v>Обложка</v>
      </c>
      <c r="V1042" s="24" t="str">
        <f>HYPERLINK("https://znanium.ru/catalog/product/1079863", "Ознакомиться")</f>
        <v>Ознакомиться</v>
      </c>
      <c r="W1042" s="8" t="s">
        <v>1211</v>
      </c>
      <c r="X1042" s="6"/>
      <c r="Y1042" s="6"/>
      <c r="Z1042" s="6"/>
      <c r="AA1042" s="6" t="s">
        <v>369</v>
      </c>
      <c r="AB1042" s="8"/>
    </row>
    <row r="1043" spans="1:28" s="4" customFormat="1" ht="42" customHeight="1">
      <c r="A1043" s="5">
        <v>0</v>
      </c>
      <c r="B1043" s="6" t="s">
        <v>6233</v>
      </c>
      <c r="C1043" s="7">
        <v>1056</v>
      </c>
      <c r="D1043" s="8" t="s">
        <v>6234</v>
      </c>
      <c r="E1043" s="8" t="s">
        <v>6235</v>
      </c>
      <c r="F1043" s="8" t="s">
        <v>6236</v>
      </c>
      <c r="G1043" s="6" t="s">
        <v>38</v>
      </c>
      <c r="H1043" s="6" t="s">
        <v>39</v>
      </c>
      <c r="I1043" s="8" t="s">
        <v>344</v>
      </c>
      <c r="J1043" s="9">
        <v>1</v>
      </c>
      <c r="K1043" s="9">
        <v>195</v>
      </c>
      <c r="L1043" s="9">
        <v>2023</v>
      </c>
      <c r="M1043" s="8" t="s">
        <v>6237</v>
      </c>
      <c r="N1043" s="8" t="s">
        <v>284</v>
      </c>
      <c r="O1043" s="8" t="s">
        <v>285</v>
      </c>
      <c r="P1043" s="6" t="s">
        <v>44</v>
      </c>
      <c r="Q1043" s="8" t="s">
        <v>45</v>
      </c>
      <c r="R1043" s="10" t="s">
        <v>6238</v>
      </c>
      <c r="S1043" s="11"/>
      <c r="T1043" s="6"/>
      <c r="U1043" s="24" t="str">
        <f>HYPERLINK("https://media.infra-m.ru/1905/1905898/cover/1905898.jpg", "Обложка")</f>
        <v>Обложка</v>
      </c>
      <c r="V1043" s="12"/>
      <c r="W1043" s="8" t="s">
        <v>346</v>
      </c>
      <c r="X1043" s="6"/>
      <c r="Y1043" s="6"/>
      <c r="Z1043" s="6"/>
      <c r="AA1043" s="6" t="s">
        <v>68</v>
      </c>
      <c r="AB1043" s="8"/>
    </row>
    <row r="1044" spans="1:28" s="4" customFormat="1" ht="51.95" customHeight="1">
      <c r="A1044" s="5">
        <v>0</v>
      </c>
      <c r="B1044" s="6" t="s">
        <v>6239</v>
      </c>
      <c r="C1044" s="13">
        <v>720</v>
      </c>
      <c r="D1044" s="8" t="s">
        <v>6240</v>
      </c>
      <c r="E1044" s="8" t="s">
        <v>6241</v>
      </c>
      <c r="F1044" s="8" t="s">
        <v>6242</v>
      </c>
      <c r="G1044" s="6" t="s">
        <v>38</v>
      </c>
      <c r="H1044" s="6" t="s">
        <v>39</v>
      </c>
      <c r="I1044" s="8" t="s">
        <v>40</v>
      </c>
      <c r="J1044" s="9">
        <v>1</v>
      </c>
      <c r="K1044" s="9">
        <v>123</v>
      </c>
      <c r="L1044" s="9">
        <v>2021</v>
      </c>
      <c r="M1044" s="8" t="s">
        <v>6243</v>
      </c>
      <c r="N1044" s="8" t="s">
        <v>284</v>
      </c>
      <c r="O1044" s="8" t="s">
        <v>285</v>
      </c>
      <c r="P1044" s="6" t="s">
        <v>44</v>
      </c>
      <c r="Q1044" s="8" t="s">
        <v>45</v>
      </c>
      <c r="R1044" s="10" t="s">
        <v>6244</v>
      </c>
      <c r="S1044" s="11"/>
      <c r="T1044" s="6"/>
      <c r="U1044" s="24" t="str">
        <f>HYPERLINK("https://media.infra-m.ru/1141/1141765/cover/1141765.jpg", "Обложка")</f>
        <v>Обложка</v>
      </c>
      <c r="V1044" s="24" t="str">
        <f>HYPERLINK("https://znanium.ru/catalog/product/1141765", "Ознакомиться")</f>
        <v>Ознакомиться</v>
      </c>
      <c r="W1044" s="8" t="s">
        <v>4178</v>
      </c>
      <c r="X1044" s="6"/>
      <c r="Y1044" s="6"/>
      <c r="Z1044" s="6"/>
      <c r="AA1044" s="6" t="s">
        <v>199</v>
      </c>
      <c r="AB1044" s="8"/>
    </row>
    <row r="1045" spans="1:28" s="4" customFormat="1" ht="51.95" customHeight="1">
      <c r="A1045" s="5">
        <v>0</v>
      </c>
      <c r="B1045" s="6" t="s">
        <v>6245</v>
      </c>
      <c r="C1045" s="7">
        <v>1896</v>
      </c>
      <c r="D1045" s="8" t="s">
        <v>6246</v>
      </c>
      <c r="E1045" s="8" t="s">
        <v>6247</v>
      </c>
      <c r="F1045" s="8" t="s">
        <v>6248</v>
      </c>
      <c r="G1045" s="6" t="s">
        <v>132</v>
      </c>
      <c r="H1045" s="6" t="s">
        <v>39</v>
      </c>
      <c r="I1045" s="8" t="s">
        <v>40</v>
      </c>
      <c r="J1045" s="9">
        <v>1</v>
      </c>
      <c r="K1045" s="9">
        <v>343</v>
      </c>
      <c r="L1045" s="9">
        <v>2023</v>
      </c>
      <c r="M1045" s="8" t="s">
        <v>6249</v>
      </c>
      <c r="N1045" s="8" t="s">
        <v>42</v>
      </c>
      <c r="O1045" s="8" t="s">
        <v>101</v>
      </c>
      <c r="P1045" s="6" t="s">
        <v>44</v>
      </c>
      <c r="Q1045" s="8" t="s">
        <v>45</v>
      </c>
      <c r="R1045" s="10" t="s">
        <v>6250</v>
      </c>
      <c r="S1045" s="11"/>
      <c r="T1045" s="6"/>
      <c r="U1045" s="24" t="str">
        <f>HYPERLINK("https://media.infra-m.ru/1921/1921387/cover/1921387.jpg", "Обложка")</f>
        <v>Обложка</v>
      </c>
      <c r="V1045" s="24" t="str">
        <f>HYPERLINK("https://znanium.ru/catalog/product/1921387", "Ознакомиться")</f>
        <v>Ознакомиться</v>
      </c>
      <c r="W1045" s="8" t="s">
        <v>6251</v>
      </c>
      <c r="X1045" s="6"/>
      <c r="Y1045" s="6"/>
      <c r="Z1045" s="6"/>
      <c r="AA1045" s="6" t="s">
        <v>119</v>
      </c>
      <c r="AB1045" s="8"/>
    </row>
    <row r="1046" spans="1:28" s="4" customFormat="1" ht="42" customHeight="1">
      <c r="A1046" s="5">
        <v>0</v>
      </c>
      <c r="B1046" s="6" t="s">
        <v>6252</v>
      </c>
      <c r="C1046" s="7">
        <v>1584</v>
      </c>
      <c r="D1046" s="8" t="s">
        <v>6253</v>
      </c>
      <c r="E1046" s="8" t="s">
        <v>6254</v>
      </c>
      <c r="F1046" s="8" t="s">
        <v>6255</v>
      </c>
      <c r="G1046" s="6" t="s">
        <v>132</v>
      </c>
      <c r="H1046" s="6" t="s">
        <v>99</v>
      </c>
      <c r="I1046" s="8"/>
      <c r="J1046" s="9">
        <v>1</v>
      </c>
      <c r="K1046" s="9">
        <v>288</v>
      </c>
      <c r="L1046" s="9">
        <v>2024</v>
      </c>
      <c r="M1046" s="8" t="s">
        <v>6256</v>
      </c>
      <c r="N1046" s="8" t="s">
        <v>42</v>
      </c>
      <c r="O1046" s="8" t="s">
        <v>155</v>
      </c>
      <c r="P1046" s="6" t="s">
        <v>44</v>
      </c>
      <c r="Q1046" s="8" t="s">
        <v>45</v>
      </c>
      <c r="R1046" s="10" t="s">
        <v>269</v>
      </c>
      <c r="S1046" s="11"/>
      <c r="T1046" s="6"/>
      <c r="U1046" s="24" t="str">
        <f>HYPERLINK("https://media.infra-m.ru/2123/2123874/cover/2123874.jpg", "Обложка")</f>
        <v>Обложка</v>
      </c>
      <c r="V1046" s="24" t="str">
        <f>HYPERLINK("https://znanium.ru/catalog/product/2123874", "Ознакомиться")</f>
        <v>Ознакомиться</v>
      </c>
      <c r="W1046" s="8" t="s">
        <v>103</v>
      </c>
      <c r="X1046" s="6"/>
      <c r="Y1046" s="6"/>
      <c r="Z1046" s="6"/>
      <c r="AA1046" s="6" t="s">
        <v>58</v>
      </c>
      <c r="AB1046" s="8"/>
    </row>
    <row r="1047" spans="1:28" s="4" customFormat="1" ht="42" customHeight="1">
      <c r="A1047" s="5">
        <v>0</v>
      </c>
      <c r="B1047" s="6" t="s">
        <v>6257</v>
      </c>
      <c r="C1047" s="7">
        <v>1968</v>
      </c>
      <c r="D1047" s="8" t="s">
        <v>6258</v>
      </c>
      <c r="E1047" s="8" t="s">
        <v>6259</v>
      </c>
      <c r="F1047" s="8" t="s">
        <v>6260</v>
      </c>
      <c r="G1047" s="6" t="s">
        <v>81</v>
      </c>
      <c r="H1047" s="6" t="s">
        <v>99</v>
      </c>
      <c r="I1047" s="8"/>
      <c r="J1047" s="9">
        <v>1</v>
      </c>
      <c r="K1047" s="9">
        <v>392</v>
      </c>
      <c r="L1047" s="9">
        <v>2022</v>
      </c>
      <c r="M1047" s="8" t="s">
        <v>6261</v>
      </c>
      <c r="N1047" s="8" t="s">
        <v>42</v>
      </c>
      <c r="O1047" s="8" t="s">
        <v>101</v>
      </c>
      <c r="P1047" s="6" t="s">
        <v>44</v>
      </c>
      <c r="Q1047" s="8" t="s">
        <v>45</v>
      </c>
      <c r="R1047" s="10" t="s">
        <v>338</v>
      </c>
      <c r="S1047" s="11"/>
      <c r="T1047" s="6"/>
      <c r="U1047" s="24" t="str">
        <f>HYPERLINK("https://media.infra-m.ru/1872/1872516/cover/1872516.jpg", "Обложка")</f>
        <v>Обложка</v>
      </c>
      <c r="V1047" s="24" t="str">
        <f>HYPERLINK("https://znanium.ru/catalog/product/1872516", "Ознакомиться")</f>
        <v>Ознакомиться</v>
      </c>
      <c r="W1047" s="8" t="s">
        <v>103</v>
      </c>
      <c r="X1047" s="6"/>
      <c r="Y1047" s="6"/>
      <c r="Z1047" s="6"/>
      <c r="AA1047" s="6" t="s">
        <v>76</v>
      </c>
      <c r="AB1047" s="8"/>
    </row>
    <row r="1048" spans="1:28" s="4" customFormat="1" ht="51.95" customHeight="1">
      <c r="A1048" s="5">
        <v>0</v>
      </c>
      <c r="B1048" s="6" t="s">
        <v>6262</v>
      </c>
      <c r="C1048" s="7">
        <v>2208</v>
      </c>
      <c r="D1048" s="8" t="s">
        <v>6263</v>
      </c>
      <c r="E1048" s="8" t="s">
        <v>6264</v>
      </c>
      <c r="F1048" s="8" t="s">
        <v>6265</v>
      </c>
      <c r="G1048" s="6" t="s">
        <v>132</v>
      </c>
      <c r="H1048" s="6" t="s">
        <v>39</v>
      </c>
      <c r="I1048" s="8" t="s">
        <v>40</v>
      </c>
      <c r="J1048" s="9">
        <v>1</v>
      </c>
      <c r="K1048" s="9">
        <v>368</v>
      </c>
      <c r="L1048" s="9">
        <v>2024</v>
      </c>
      <c r="M1048" s="8" t="s">
        <v>6266</v>
      </c>
      <c r="N1048" s="8" t="s">
        <v>42</v>
      </c>
      <c r="O1048" s="8" t="s">
        <v>155</v>
      </c>
      <c r="P1048" s="6" t="s">
        <v>44</v>
      </c>
      <c r="Q1048" s="8" t="s">
        <v>45</v>
      </c>
      <c r="R1048" s="10" t="s">
        <v>6267</v>
      </c>
      <c r="S1048" s="11" t="s">
        <v>6268</v>
      </c>
      <c r="T1048" s="6"/>
      <c r="U1048" s="24" t="str">
        <f>HYPERLINK("https://media.infra-m.ru/2106/2106186/cover/2106186.jpg", "Обложка")</f>
        <v>Обложка</v>
      </c>
      <c r="V1048" s="24" t="str">
        <f>HYPERLINK("https://znanium.ru/catalog/product/2106186", "Ознакомиться")</f>
        <v>Ознакомиться</v>
      </c>
      <c r="W1048" s="8" t="s">
        <v>6269</v>
      </c>
      <c r="X1048" s="6"/>
      <c r="Y1048" s="6"/>
      <c r="Z1048" s="6"/>
      <c r="AA1048" s="6" t="s">
        <v>58</v>
      </c>
      <c r="AB1048" s="8"/>
    </row>
    <row r="1049" spans="1:28" s="4" customFormat="1" ht="51.95" customHeight="1">
      <c r="A1049" s="5">
        <v>0</v>
      </c>
      <c r="B1049" s="6" t="s">
        <v>6270</v>
      </c>
      <c r="C1049" s="7">
        <v>1492.8</v>
      </c>
      <c r="D1049" s="8" t="s">
        <v>6271</v>
      </c>
      <c r="E1049" s="8" t="s">
        <v>6272</v>
      </c>
      <c r="F1049" s="8" t="s">
        <v>6273</v>
      </c>
      <c r="G1049" s="6" t="s">
        <v>81</v>
      </c>
      <c r="H1049" s="6" t="s">
        <v>39</v>
      </c>
      <c r="I1049" s="8" t="s">
        <v>164</v>
      </c>
      <c r="J1049" s="9">
        <v>1</v>
      </c>
      <c r="K1049" s="9">
        <v>225</v>
      </c>
      <c r="L1049" s="9">
        <v>2026</v>
      </c>
      <c r="M1049" s="8" t="s">
        <v>6274</v>
      </c>
      <c r="N1049" s="8" t="s">
        <v>42</v>
      </c>
      <c r="O1049" s="8" t="s">
        <v>155</v>
      </c>
      <c r="P1049" s="6" t="s">
        <v>44</v>
      </c>
      <c r="Q1049" s="8" t="s">
        <v>45</v>
      </c>
      <c r="R1049" s="10" t="s">
        <v>6275</v>
      </c>
      <c r="S1049" s="11"/>
      <c r="T1049" s="6"/>
      <c r="U1049" s="24" t="str">
        <f>HYPERLINK("https://media.infra-m.ru/2224/2224132/cover/2224132.jpg", "Обложка")</f>
        <v>Обложка</v>
      </c>
      <c r="V1049" s="24" t="str">
        <f>HYPERLINK("https://znanium.ru/catalog/product/2163036", "Ознакомиться")</f>
        <v>Ознакомиться</v>
      </c>
      <c r="W1049" s="8" t="s">
        <v>167</v>
      </c>
      <c r="X1049" s="6"/>
      <c r="Y1049" s="6"/>
      <c r="Z1049" s="6"/>
      <c r="AA1049" s="6" t="s">
        <v>119</v>
      </c>
      <c r="AB1049" s="8"/>
    </row>
    <row r="1050" spans="1:28" s="4" customFormat="1" ht="44.1" customHeight="1">
      <c r="A1050" s="5">
        <v>0</v>
      </c>
      <c r="B1050" s="6" t="s">
        <v>6276</v>
      </c>
      <c r="C1050" s="13">
        <v>890.3</v>
      </c>
      <c r="D1050" s="8" t="s">
        <v>6277</v>
      </c>
      <c r="E1050" s="8" t="s">
        <v>6278</v>
      </c>
      <c r="F1050" s="8" t="s">
        <v>6279</v>
      </c>
      <c r="G1050" s="6" t="s">
        <v>132</v>
      </c>
      <c r="H1050" s="6" t="s">
        <v>99</v>
      </c>
      <c r="I1050" s="8"/>
      <c r="J1050" s="9">
        <v>1</v>
      </c>
      <c r="K1050" s="9">
        <v>176</v>
      </c>
      <c r="L1050" s="9">
        <v>2020</v>
      </c>
      <c r="M1050" s="8" t="s">
        <v>6280</v>
      </c>
      <c r="N1050" s="8" t="s">
        <v>42</v>
      </c>
      <c r="O1050" s="8" t="s">
        <v>101</v>
      </c>
      <c r="P1050" s="6" t="s">
        <v>44</v>
      </c>
      <c r="Q1050" s="8" t="s">
        <v>45</v>
      </c>
      <c r="R1050" s="10" t="s">
        <v>692</v>
      </c>
      <c r="S1050" s="11"/>
      <c r="T1050" s="6"/>
      <c r="U1050" s="24" t="str">
        <f>HYPERLINK("https://media.infra-m.ru/1221/1221075/cover/1221075.jpg", "Обложка")</f>
        <v>Обложка</v>
      </c>
      <c r="V1050" s="24" t="str">
        <f>HYPERLINK("https://znanium.ru/catalog/product/1185621", "Ознакомиться")</f>
        <v>Ознакомиться</v>
      </c>
      <c r="W1050" s="8" t="s">
        <v>75</v>
      </c>
      <c r="X1050" s="6"/>
      <c r="Y1050" s="6"/>
      <c r="Z1050" s="6"/>
      <c r="AA1050" s="6" t="s">
        <v>168</v>
      </c>
      <c r="AB1050" s="8"/>
    </row>
    <row r="1051" spans="1:28" s="4" customFormat="1" ht="42" customHeight="1">
      <c r="A1051" s="5">
        <v>0</v>
      </c>
      <c r="B1051" s="6" t="s">
        <v>6281</v>
      </c>
      <c r="C1051" s="7">
        <v>1344</v>
      </c>
      <c r="D1051" s="8" t="s">
        <v>6282</v>
      </c>
      <c r="E1051" s="8" t="s">
        <v>6283</v>
      </c>
      <c r="F1051" s="8" t="s">
        <v>6284</v>
      </c>
      <c r="G1051" s="6" t="s">
        <v>38</v>
      </c>
      <c r="H1051" s="6" t="s">
        <v>39</v>
      </c>
      <c r="I1051" s="8" t="s">
        <v>40</v>
      </c>
      <c r="J1051" s="9">
        <v>1</v>
      </c>
      <c r="K1051" s="9">
        <v>224</v>
      </c>
      <c r="L1051" s="9">
        <v>2025</v>
      </c>
      <c r="M1051" s="8" t="s">
        <v>6285</v>
      </c>
      <c r="N1051" s="8" t="s">
        <v>284</v>
      </c>
      <c r="O1051" s="8" t="s">
        <v>482</v>
      </c>
      <c r="P1051" s="6" t="s">
        <v>44</v>
      </c>
      <c r="Q1051" s="8" t="s">
        <v>45</v>
      </c>
      <c r="R1051" s="10" t="s">
        <v>6286</v>
      </c>
      <c r="S1051" s="11"/>
      <c r="T1051" s="6"/>
      <c r="U1051" s="24" t="str">
        <f>HYPERLINK("https://media.infra-m.ru/2180/2180227/cover/2180227.jpg", "Обложка")</f>
        <v>Обложка</v>
      </c>
      <c r="V1051" s="24" t="str">
        <f>HYPERLINK("https://znanium.ru/catalog/product/2180227", "Ознакомиться")</f>
        <v>Ознакомиться</v>
      </c>
      <c r="W1051" s="8" t="s">
        <v>1882</v>
      </c>
      <c r="X1051" s="6"/>
      <c r="Y1051" s="6"/>
      <c r="Z1051" s="6"/>
      <c r="AA1051" s="6" t="s">
        <v>68</v>
      </c>
      <c r="AB1051" s="8"/>
    </row>
    <row r="1052" spans="1:28" s="4" customFormat="1" ht="44.1" customHeight="1">
      <c r="A1052" s="5">
        <v>0</v>
      </c>
      <c r="B1052" s="6" t="s">
        <v>6287</v>
      </c>
      <c r="C1052" s="13">
        <v>605.9</v>
      </c>
      <c r="D1052" s="8" t="s">
        <v>6288</v>
      </c>
      <c r="E1052" s="8" t="s">
        <v>6289</v>
      </c>
      <c r="F1052" s="8" t="s">
        <v>6290</v>
      </c>
      <c r="G1052" s="6" t="s">
        <v>38</v>
      </c>
      <c r="H1052" s="6" t="s">
        <v>39</v>
      </c>
      <c r="I1052" s="8" t="s">
        <v>40</v>
      </c>
      <c r="J1052" s="9">
        <v>1</v>
      </c>
      <c r="K1052" s="9">
        <v>112</v>
      </c>
      <c r="L1052" s="9">
        <v>2023</v>
      </c>
      <c r="M1052" s="8" t="s">
        <v>6291</v>
      </c>
      <c r="N1052" s="8" t="s">
        <v>42</v>
      </c>
      <c r="O1052" s="8" t="s">
        <v>189</v>
      </c>
      <c r="P1052" s="6" t="s">
        <v>44</v>
      </c>
      <c r="Q1052" s="8" t="s">
        <v>45</v>
      </c>
      <c r="R1052" s="10" t="s">
        <v>6292</v>
      </c>
      <c r="S1052" s="11"/>
      <c r="T1052" s="6"/>
      <c r="U1052" s="24" t="str">
        <f>HYPERLINK("https://media.infra-m.ru/2044/2044327/cover/2044327.jpg", "Обложка")</f>
        <v>Обложка</v>
      </c>
      <c r="V1052" s="24" t="str">
        <f>HYPERLINK("https://znanium.ru/catalog/product/925838", "Ознакомиться")</f>
        <v>Ознакомиться</v>
      </c>
      <c r="W1052" s="8" t="s">
        <v>5996</v>
      </c>
      <c r="X1052" s="6"/>
      <c r="Y1052" s="6"/>
      <c r="Z1052" s="6"/>
      <c r="AA1052" s="6" t="s">
        <v>48</v>
      </c>
      <c r="AB1052" s="8"/>
    </row>
    <row r="1053" spans="1:28" s="4" customFormat="1" ht="51.95" customHeight="1">
      <c r="A1053" s="5">
        <v>0</v>
      </c>
      <c r="B1053" s="6" t="s">
        <v>6293</v>
      </c>
      <c r="C1053" s="7">
        <v>1932</v>
      </c>
      <c r="D1053" s="8" t="s">
        <v>6294</v>
      </c>
      <c r="E1053" s="8" t="s">
        <v>6295</v>
      </c>
      <c r="F1053" s="8" t="s">
        <v>6296</v>
      </c>
      <c r="G1053" s="6" t="s">
        <v>81</v>
      </c>
      <c r="H1053" s="6" t="s">
        <v>39</v>
      </c>
      <c r="I1053" s="8" t="s">
        <v>40</v>
      </c>
      <c r="J1053" s="9">
        <v>1</v>
      </c>
      <c r="K1053" s="9">
        <v>350</v>
      </c>
      <c r="L1053" s="9">
        <v>2024</v>
      </c>
      <c r="M1053" s="8" t="s">
        <v>6297</v>
      </c>
      <c r="N1053" s="8" t="s">
        <v>284</v>
      </c>
      <c r="O1053" s="8" t="s">
        <v>285</v>
      </c>
      <c r="P1053" s="6" t="s">
        <v>44</v>
      </c>
      <c r="Q1053" s="8" t="s">
        <v>45</v>
      </c>
      <c r="R1053" s="10" t="s">
        <v>6298</v>
      </c>
      <c r="S1053" s="11"/>
      <c r="T1053" s="6"/>
      <c r="U1053" s="24" t="str">
        <f>HYPERLINK("https://media.infra-m.ru/2054/2054120/cover/2054120.jpg", "Обложка")</f>
        <v>Обложка</v>
      </c>
      <c r="V1053" s="24" t="str">
        <f>HYPERLINK("https://znanium.ru/catalog/product/2054120", "Ознакомиться")</f>
        <v>Ознакомиться</v>
      </c>
      <c r="W1053" s="8" t="s">
        <v>5443</v>
      </c>
      <c r="X1053" s="6"/>
      <c r="Y1053" s="6"/>
      <c r="Z1053" s="6"/>
      <c r="AA1053" s="6" t="s">
        <v>199</v>
      </c>
      <c r="AB1053" s="8"/>
    </row>
    <row r="1054" spans="1:28" s="4" customFormat="1" ht="42" customHeight="1">
      <c r="A1054" s="5">
        <v>0</v>
      </c>
      <c r="B1054" s="6" t="s">
        <v>6299</v>
      </c>
      <c r="C1054" s="13">
        <v>660</v>
      </c>
      <c r="D1054" s="8" t="s">
        <v>6300</v>
      </c>
      <c r="E1054" s="8" t="s">
        <v>6301</v>
      </c>
      <c r="F1054" s="8" t="s">
        <v>6302</v>
      </c>
      <c r="G1054" s="6" t="s">
        <v>38</v>
      </c>
      <c r="H1054" s="6" t="s">
        <v>39</v>
      </c>
      <c r="I1054" s="8" t="s">
        <v>4478</v>
      </c>
      <c r="J1054" s="9">
        <v>1</v>
      </c>
      <c r="K1054" s="9">
        <v>107</v>
      </c>
      <c r="L1054" s="9">
        <v>2024</v>
      </c>
      <c r="M1054" s="8" t="s">
        <v>6303</v>
      </c>
      <c r="N1054" s="8" t="s">
        <v>284</v>
      </c>
      <c r="O1054" s="8" t="s">
        <v>717</v>
      </c>
      <c r="P1054" s="6" t="s">
        <v>44</v>
      </c>
      <c r="Q1054" s="8" t="s">
        <v>45</v>
      </c>
      <c r="R1054" s="10" t="s">
        <v>718</v>
      </c>
      <c r="S1054" s="11"/>
      <c r="T1054" s="6"/>
      <c r="U1054" s="24" t="str">
        <f>HYPERLINK("https://media.infra-m.ru/2052/2052397/cover/2052397.jpg", "Обложка")</f>
        <v>Обложка</v>
      </c>
      <c r="V1054" s="24" t="str">
        <f>HYPERLINK("https://znanium.ru/catalog/product/2052397", "Ознакомиться")</f>
        <v>Ознакомиться</v>
      </c>
      <c r="W1054" s="8" t="s">
        <v>3530</v>
      </c>
      <c r="X1054" s="6"/>
      <c r="Y1054" s="6"/>
      <c r="Z1054" s="6"/>
      <c r="AA1054" s="6" t="s">
        <v>290</v>
      </c>
      <c r="AB1054" s="8"/>
    </row>
    <row r="1055" spans="1:28" s="4" customFormat="1" ht="42" customHeight="1">
      <c r="A1055" s="5">
        <v>0</v>
      </c>
      <c r="B1055" s="6" t="s">
        <v>6304</v>
      </c>
      <c r="C1055" s="7">
        <v>2568</v>
      </c>
      <c r="D1055" s="8" t="s">
        <v>6305</v>
      </c>
      <c r="E1055" s="8" t="s">
        <v>6306</v>
      </c>
      <c r="F1055" s="8" t="s">
        <v>6307</v>
      </c>
      <c r="G1055" s="6" t="s">
        <v>132</v>
      </c>
      <c r="H1055" s="6" t="s">
        <v>39</v>
      </c>
      <c r="I1055" s="8" t="s">
        <v>40</v>
      </c>
      <c r="J1055" s="9">
        <v>1</v>
      </c>
      <c r="K1055" s="9">
        <v>466</v>
      </c>
      <c r="L1055" s="9">
        <v>2024</v>
      </c>
      <c r="M1055" s="8" t="s">
        <v>6308</v>
      </c>
      <c r="N1055" s="8" t="s">
        <v>220</v>
      </c>
      <c r="O1055" s="8" t="s">
        <v>296</v>
      </c>
      <c r="P1055" s="6" t="s">
        <v>44</v>
      </c>
      <c r="Q1055" s="8" t="s">
        <v>45</v>
      </c>
      <c r="R1055" s="10" t="s">
        <v>6309</v>
      </c>
      <c r="S1055" s="11"/>
      <c r="T1055" s="6"/>
      <c r="U1055" s="24" t="str">
        <f>HYPERLINK("https://media.infra-m.ru/2122/2122430/cover/2122430.jpg", "Обложка")</f>
        <v>Обложка</v>
      </c>
      <c r="V1055" s="24" t="str">
        <f>HYPERLINK("https://znanium.ru/catalog/product/2122430", "Ознакомиться")</f>
        <v>Ознакомиться</v>
      </c>
      <c r="W1055" s="8" t="s">
        <v>5443</v>
      </c>
      <c r="X1055" s="6"/>
      <c r="Y1055" s="6"/>
      <c r="Z1055" s="6"/>
      <c r="AA1055" s="6" t="s">
        <v>111</v>
      </c>
      <c r="AB1055" s="8" t="s">
        <v>917</v>
      </c>
    </row>
    <row r="1056" spans="1:28" s="4" customFormat="1" ht="44.1" customHeight="1">
      <c r="A1056" s="5">
        <v>0</v>
      </c>
      <c r="B1056" s="6" t="s">
        <v>6310</v>
      </c>
      <c r="C1056" s="13">
        <v>525.6</v>
      </c>
      <c r="D1056" s="8" t="s">
        <v>6311</v>
      </c>
      <c r="E1056" s="8" t="s">
        <v>6312</v>
      </c>
      <c r="F1056" s="8" t="s">
        <v>236</v>
      </c>
      <c r="G1056" s="6" t="s">
        <v>38</v>
      </c>
      <c r="H1056" s="6" t="s">
        <v>39</v>
      </c>
      <c r="I1056" s="8"/>
      <c r="J1056" s="9">
        <v>1</v>
      </c>
      <c r="K1056" s="9">
        <v>112</v>
      </c>
      <c r="L1056" s="9">
        <v>2026</v>
      </c>
      <c r="M1056" s="8" t="s">
        <v>6313</v>
      </c>
      <c r="N1056" s="8" t="s">
        <v>54</v>
      </c>
      <c r="O1056" s="8" t="s">
        <v>55</v>
      </c>
      <c r="P1056" s="6" t="s">
        <v>239</v>
      </c>
      <c r="Q1056" s="8" t="s">
        <v>1058</v>
      </c>
      <c r="R1056" s="10" t="s">
        <v>6314</v>
      </c>
      <c r="S1056" s="11"/>
      <c r="T1056" s="6"/>
      <c r="U1056" s="24" t="str">
        <f>HYPERLINK("https://media.infra-m.ru/2213/2213192/cover/2213192.jpg", "Обложка")</f>
        <v>Обложка</v>
      </c>
      <c r="V1056" s="24" t="str">
        <f>HYPERLINK("https://znanium.ru/catalog/product/1048334", "Ознакомиться")</f>
        <v>Ознакомиться</v>
      </c>
      <c r="W1056" s="8" t="s">
        <v>191</v>
      </c>
      <c r="X1056" s="6"/>
      <c r="Y1056" s="6"/>
      <c r="Z1056" s="6"/>
      <c r="AA1056" s="6" t="s">
        <v>6315</v>
      </c>
      <c r="AB1056" s="8"/>
    </row>
    <row r="1057" spans="1:28" s="4" customFormat="1" ht="44.1" customHeight="1">
      <c r="A1057" s="5">
        <v>0</v>
      </c>
      <c r="B1057" s="6" t="s">
        <v>6316</v>
      </c>
      <c r="C1057" s="7">
        <v>1032</v>
      </c>
      <c r="D1057" s="8" t="s">
        <v>6317</v>
      </c>
      <c r="E1057" s="8" t="s">
        <v>6318</v>
      </c>
      <c r="F1057" s="8" t="s">
        <v>6319</v>
      </c>
      <c r="G1057" s="6" t="s">
        <v>132</v>
      </c>
      <c r="H1057" s="6" t="s">
        <v>39</v>
      </c>
      <c r="I1057" s="8" t="s">
        <v>40</v>
      </c>
      <c r="J1057" s="9">
        <v>1</v>
      </c>
      <c r="K1057" s="9">
        <v>152</v>
      </c>
      <c r="L1057" s="9">
        <v>2025</v>
      </c>
      <c r="M1057" s="8" t="s">
        <v>6320</v>
      </c>
      <c r="N1057" s="8" t="s">
        <v>42</v>
      </c>
      <c r="O1057" s="8" t="s">
        <v>101</v>
      </c>
      <c r="P1057" s="6" t="s">
        <v>44</v>
      </c>
      <c r="Q1057" s="8" t="s">
        <v>45</v>
      </c>
      <c r="R1057" s="10" t="s">
        <v>4797</v>
      </c>
      <c r="S1057" s="11"/>
      <c r="T1057" s="6"/>
      <c r="U1057" s="24" t="str">
        <f>HYPERLINK("https://media.infra-m.ru/2176/2176627/cover/2176627.jpg", "Обложка")</f>
        <v>Обложка</v>
      </c>
      <c r="V1057" s="24" t="str">
        <f>HYPERLINK("https://znanium.ru/catalog/product/2176627", "Ознакомиться")</f>
        <v>Ознакомиться</v>
      </c>
      <c r="W1057" s="8" t="s">
        <v>1349</v>
      </c>
      <c r="X1057" s="6" t="s">
        <v>320</v>
      </c>
      <c r="Y1057" s="6"/>
      <c r="Z1057" s="6"/>
      <c r="AA1057" s="6" t="s">
        <v>159</v>
      </c>
      <c r="AB1057" s="8"/>
    </row>
    <row r="1058" spans="1:28" s="4" customFormat="1" ht="51.95" customHeight="1">
      <c r="A1058" s="5">
        <v>0</v>
      </c>
      <c r="B1058" s="6" t="s">
        <v>6321</v>
      </c>
      <c r="C1058" s="7">
        <v>1469.9</v>
      </c>
      <c r="D1058" s="8" t="s">
        <v>6322</v>
      </c>
      <c r="E1058" s="8" t="s">
        <v>6323</v>
      </c>
      <c r="F1058" s="8" t="s">
        <v>6324</v>
      </c>
      <c r="G1058" s="6" t="s">
        <v>132</v>
      </c>
      <c r="H1058" s="6" t="s">
        <v>99</v>
      </c>
      <c r="I1058" s="8"/>
      <c r="J1058" s="9">
        <v>1</v>
      </c>
      <c r="K1058" s="9">
        <v>272</v>
      </c>
      <c r="L1058" s="9">
        <v>2023</v>
      </c>
      <c r="M1058" s="8" t="s">
        <v>6325</v>
      </c>
      <c r="N1058" s="8" t="s">
        <v>42</v>
      </c>
      <c r="O1058" s="8" t="s">
        <v>65</v>
      </c>
      <c r="P1058" s="6" t="s">
        <v>44</v>
      </c>
      <c r="Q1058" s="8" t="s">
        <v>45</v>
      </c>
      <c r="R1058" s="10" t="s">
        <v>6326</v>
      </c>
      <c r="S1058" s="11"/>
      <c r="T1058" s="6"/>
      <c r="U1058" s="24" t="str">
        <f>HYPERLINK("https://media.infra-m.ru/1913/1913682/cover/1913682.jpg", "Обложка")</f>
        <v>Обложка</v>
      </c>
      <c r="V1058" s="24" t="str">
        <f>HYPERLINK("https://znanium.ru/catalog/product/938034", "Ознакомиться")</f>
        <v>Ознакомиться</v>
      </c>
      <c r="W1058" s="8" t="s">
        <v>3675</v>
      </c>
      <c r="X1058" s="6"/>
      <c r="Y1058" s="6"/>
      <c r="Z1058" s="6"/>
      <c r="AA1058" s="6" t="s">
        <v>339</v>
      </c>
      <c r="AB1058" s="8"/>
    </row>
    <row r="1059" spans="1:28" s="4" customFormat="1" ht="51.95" customHeight="1">
      <c r="A1059" s="5">
        <v>0</v>
      </c>
      <c r="B1059" s="6" t="s">
        <v>6327</v>
      </c>
      <c r="C1059" s="7">
        <v>3460.8</v>
      </c>
      <c r="D1059" s="8" t="s">
        <v>6328</v>
      </c>
      <c r="E1059" s="8" t="s">
        <v>6329</v>
      </c>
      <c r="F1059" s="8" t="s">
        <v>6330</v>
      </c>
      <c r="G1059" s="6" t="s">
        <v>81</v>
      </c>
      <c r="H1059" s="6" t="s">
        <v>39</v>
      </c>
      <c r="I1059" s="8" t="s">
        <v>40</v>
      </c>
      <c r="J1059" s="9">
        <v>1</v>
      </c>
      <c r="K1059" s="9">
        <v>576</v>
      </c>
      <c r="L1059" s="9">
        <v>2025</v>
      </c>
      <c r="M1059" s="8" t="s">
        <v>6331</v>
      </c>
      <c r="N1059" s="8" t="s">
        <v>42</v>
      </c>
      <c r="O1059" s="8" t="s">
        <v>189</v>
      </c>
      <c r="P1059" s="6" t="s">
        <v>44</v>
      </c>
      <c r="Q1059" s="8" t="s">
        <v>45</v>
      </c>
      <c r="R1059" s="10" t="s">
        <v>6332</v>
      </c>
      <c r="S1059" s="11"/>
      <c r="T1059" s="6"/>
      <c r="U1059" s="24" t="str">
        <f>HYPERLINK("https://media.infra-m.ru/2165/2165438/cover/2165438.jpg", "Обложка")</f>
        <v>Обложка</v>
      </c>
      <c r="V1059" s="24" t="str">
        <f>HYPERLINK("https://znanium.ru/catalog/product/2163764", "Ознакомиться")</f>
        <v>Ознакомиться</v>
      </c>
      <c r="W1059" s="8" t="s">
        <v>1929</v>
      </c>
      <c r="X1059" s="6"/>
      <c r="Y1059" s="6"/>
      <c r="Z1059" s="6"/>
      <c r="AA1059" s="6" t="s">
        <v>111</v>
      </c>
      <c r="AB1059" s="8" t="s">
        <v>5038</v>
      </c>
    </row>
    <row r="1060" spans="1:28" s="4" customFormat="1" ht="42" customHeight="1">
      <c r="A1060" s="5">
        <v>0</v>
      </c>
      <c r="B1060" s="6" t="s">
        <v>6333</v>
      </c>
      <c r="C1060" s="13">
        <v>948</v>
      </c>
      <c r="D1060" s="8" t="s">
        <v>6334</v>
      </c>
      <c r="E1060" s="8" t="s">
        <v>6335</v>
      </c>
      <c r="F1060" s="8" t="s">
        <v>6336</v>
      </c>
      <c r="G1060" s="6" t="s">
        <v>38</v>
      </c>
      <c r="H1060" s="6" t="s">
        <v>39</v>
      </c>
      <c r="I1060" s="8" t="s">
        <v>40</v>
      </c>
      <c r="J1060" s="9">
        <v>1</v>
      </c>
      <c r="K1060" s="9">
        <v>195</v>
      </c>
      <c r="L1060" s="9">
        <v>2022</v>
      </c>
      <c r="M1060" s="8" t="s">
        <v>6337</v>
      </c>
      <c r="N1060" s="8" t="s">
        <v>54</v>
      </c>
      <c r="O1060" s="8" t="s">
        <v>91</v>
      </c>
      <c r="P1060" s="6" t="s">
        <v>44</v>
      </c>
      <c r="Q1060" s="8" t="s">
        <v>45</v>
      </c>
      <c r="R1060" s="10" t="s">
        <v>3174</v>
      </c>
      <c r="S1060" s="11"/>
      <c r="T1060" s="6"/>
      <c r="U1060" s="24" t="str">
        <f>HYPERLINK("https://media.infra-m.ru/1843/1843230/cover/1843230.jpg", "Обложка")</f>
        <v>Обложка</v>
      </c>
      <c r="V1060" s="24" t="str">
        <f>HYPERLINK("https://znanium.ru/catalog/product/1843230", "Ознакомиться")</f>
        <v>Ознакомиться</v>
      </c>
      <c r="W1060" s="8" t="s">
        <v>6338</v>
      </c>
      <c r="X1060" s="6"/>
      <c r="Y1060" s="6"/>
      <c r="Z1060" s="6"/>
      <c r="AA1060" s="6" t="s">
        <v>111</v>
      </c>
      <c r="AB1060" s="8"/>
    </row>
    <row r="1061" spans="1:28" s="4" customFormat="1" ht="42" customHeight="1">
      <c r="A1061" s="5">
        <v>0</v>
      </c>
      <c r="B1061" s="6" t="s">
        <v>6339</v>
      </c>
      <c r="C1061" s="13">
        <v>664.8</v>
      </c>
      <c r="D1061" s="8" t="s">
        <v>6340</v>
      </c>
      <c r="E1061" s="8" t="s">
        <v>6341</v>
      </c>
      <c r="F1061" s="8" t="s">
        <v>6342</v>
      </c>
      <c r="G1061" s="6" t="s">
        <v>38</v>
      </c>
      <c r="H1061" s="6" t="s">
        <v>39</v>
      </c>
      <c r="I1061" s="8" t="s">
        <v>40</v>
      </c>
      <c r="J1061" s="9">
        <v>1</v>
      </c>
      <c r="K1061" s="9">
        <v>121</v>
      </c>
      <c r="L1061" s="9">
        <v>2024</v>
      </c>
      <c r="M1061" s="8" t="s">
        <v>6343</v>
      </c>
      <c r="N1061" s="8" t="s">
        <v>42</v>
      </c>
      <c r="O1061" s="8" t="s">
        <v>189</v>
      </c>
      <c r="P1061" s="6" t="s">
        <v>44</v>
      </c>
      <c r="Q1061" s="8" t="s">
        <v>45</v>
      </c>
      <c r="R1061" s="10" t="s">
        <v>2503</v>
      </c>
      <c r="S1061" s="11"/>
      <c r="T1061" s="6"/>
      <c r="U1061" s="24" t="str">
        <f>HYPERLINK("https://media.infra-m.ru/2109/2109534/cover/2109534.jpg", "Обложка")</f>
        <v>Обложка</v>
      </c>
      <c r="V1061" s="24" t="str">
        <f>HYPERLINK("https://znanium.ru/catalog/product/2109534", "Ознакомиться")</f>
        <v>Ознакомиться</v>
      </c>
      <c r="W1061" s="8" t="s">
        <v>2138</v>
      </c>
      <c r="X1061" s="6"/>
      <c r="Y1061" s="6"/>
      <c r="Z1061" s="6"/>
      <c r="AA1061" s="6" t="s">
        <v>369</v>
      </c>
      <c r="AB1061" s="8"/>
    </row>
    <row r="1062" spans="1:28" s="4" customFormat="1" ht="44.1" customHeight="1">
      <c r="A1062" s="5">
        <v>0</v>
      </c>
      <c r="B1062" s="6" t="s">
        <v>6344</v>
      </c>
      <c r="C1062" s="7">
        <v>1036.8</v>
      </c>
      <c r="D1062" s="8" t="s">
        <v>6345</v>
      </c>
      <c r="E1062" s="8" t="s">
        <v>6346</v>
      </c>
      <c r="F1062" s="8" t="s">
        <v>6347</v>
      </c>
      <c r="G1062" s="6" t="s">
        <v>38</v>
      </c>
      <c r="H1062" s="6" t="s">
        <v>39</v>
      </c>
      <c r="I1062" s="8" t="s">
        <v>40</v>
      </c>
      <c r="J1062" s="9">
        <v>1</v>
      </c>
      <c r="K1062" s="9">
        <v>170</v>
      </c>
      <c r="L1062" s="9">
        <v>2025</v>
      </c>
      <c r="M1062" s="8" t="s">
        <v>6348</v>
      </c>
      <c r="N1062" s="8" t="s">
        <v>54</v>
      </c>
      <c r="O1062" s="8" t="s">
        <v>55</v>
      </c>
      <c r="P1062" s="6" t="s">
        <v>44</v>
      </c>
      <c r="Q1062" s="8" t="s">
        <v>45</v>
      </c>
      <c r="R1062" s="10" t="s">
        <v>6349</v>
      </c>
      <c r="S1062" s="11"/>
      <c r="T1062" s="6"/>
      <c r="U1062" s="24" t="str">
        <f>HYPERLINK("https://media.infra-m.ru/2170/2170938/cover/2170938.jpg", "Обложка")</f>
        <v>Обложка</v>
      </c>
      <c r="V1062" s="24" t="str">
        <f>HYPERLINK("https://znanium.ru/catalog/product/2169307", "Ознакомиться")</f>
        <v>Ознакомиться</v>
      </c>
      <c r="W1062" s="8" t="s">
        <v>1711</v>
      </c>
      <c r="X1062" s="6"/>
      <c r="Y1062" s="6"/>
      <c r="Z1062" s="6"/>
      <c r="AA1062" s="6" t="s">
        <v>199</v>
      </c>
      <c r="AB1062" s="8"/>
    </row>
    <row r="1063" spans="1:28" s="4" customFormat="1" ht="42" customHeight="1">
      <c r="A1063" s="5">
        <v>0</v>
      </c>
      <c r="B1063" s="6" t="s">
        <v>6350</v>
      </c>
      <c r="C1063" s="7">
        <v>1504.8</v>
      </c>
      <c r="D1063" s="8" t="s">
        <v>6351</v>
      </c>
      <c r="E1063" s="8" t="s">
        <v>6352</v>
      </c>
      <c r="F1063" s="8" t="s">
        <v>6353</v>
      </c>
      <c r="G1063" s="6" t="s">
        <v>132</v>
      </c>
      <c r="H1063" s="6" t="s">
        <v>99</v>
      </c>
      <c r="I1063" s="8"/>
      <c r="J1063" s="9">
        <v>1</v>
      </c>
      <c r="K1063" s="9">
        <v>272</v>
      </c>
      <c r="L1063" s="9">
        <v>2023</v>
      </c>
      <c r="M1063" s="8" t="s">
        <v>6354</v>
      </c>
      <c r="N1063" s="8" t="s">
        <v>42</v>
      </c>
      <c r="O1063" s="8" t="s">
        <v>101</v>
      </c>
      <c r="P1063" s="6" t="s">
        <v>44</v>
      </c>
      <c r="Q1063" s="8" t="s">
        <v>45</v>
      </c>
      <c r="R1063" s="10" t="s">
        <v>269</v>
      </c>
      <c r="S1063" s="11"/>
      <c r="T1063" s="6"/>
      <c r="U1063" s="24" t="str">
        <f>HYPERLINK("https://media.infra-m.ru/1915/1915914/cover/1915914.jpg", "Обложка")</f>
        <v>Обложка</v>
      </c>
      <c r="V1063" s="24" t="str">
        <f>HYPERLINK("https://znanium.ru/catalog/product/1081110", "Ознакомиться")</f>
        <v>Ознакомиться</v>
      </c>
      <c r="W1063" s="8" t="s">
        <v>565</v>
      </c>
      <c r="X1063" s="6"/>
      <c r="Y1063" s="6"/>
      <c r="Z1063" s="6"/>
      <c r="AA1063" s="6" t="s">
        <v>377</v>
      </c>
      <c r="AB1063" s="8"/>
    </row>
    <row r="1064" spans="1:28" s="4" customFormat="1" ht="51.95" customHeight="1">
      <c r="A1064" s="5">
        <v>0</v>
      </c>
      <c r="B1064" s="6" t="s">
        <v>6355</v>
      </c>
      <c r="C1064" s="13">
        <v>696</v>
      </c>
      <c r="D1064" s="8" t="s">
        <v>6356</v>
      </c>
      <c r="E1064" s="8" t="s">
        <v>6357</v>
      </c>
      <c r="F1064" s="8" t="s">
        <v>6358</v>
      </c>
      <c r="G1064" s="6" t="s">
        <v>38</v>
      </c>
      <c r="H1064" s="6" t="s">
        <v>39</v>
      </c>
      <c r="I1064" s="8" t="s">
        <v>40</v>
      </c>
      <c r="J1064" s="9">
        <v>1</v>
      </c>
      <c r="K1064" s="9">
        <v>118</v>
      </c>
      <c r="L1064" s="9">
        <v>2024</v>
      </c>
      <c r="M1064" s="8" t="s">
        <v>6359</v>
      </c>
      <c r="N1064" s="8" t="s">
        <v>54</v>
      </c>
      <c r="O1064" s="8" t="s">
        <v>91</v>
      </c>
      <c r="P1064" s="6" t="s">
        <v>44</v>
      </c>
      <c r="Q1064" s="8" t="s">
        <v>45</v>
      </c>
      <c r="R1064" s="10" t="s">
        <v>6360</v>
      </c>
      <c r="S1064" s="11"/>
      <c r="T1064" s="6"/>
      <c r="U1064" s="24" t="str">
        <f>HYPERLINK("https://media.infra-m.ru/2119/2119966/cover/2119966.jpg", "Обложка")</f>
        <v>Обложка</v>
      </c>
      <c r="V1064" s="24" t="str">
        <f>HYPERLINK("https://znanium.ru/catalog/product/2119966", "Ознакомиться")</f>
        <v>Ознакомиться</v>
      </c>
      <c r="W1064" s="8" t="s">
        <v>305</v>
      </c>
      <c r="X1064" s="6"/>
      <c r="Y1064" s="6"/>
      <c r="Z1064" s="6"/>
      <c r="AA1064" s="6" t="s">
        <v>339</v>
      </c>
      <c r="AB1064" s="8"/>
    </row>
    <row r="1065" spans="1:28" s="4" customFormat="1" ht="51.95" customHeight="1">
      <c r="A1065" s="5">
        <v>0</v>
      </c>
      <c r="B1065" s="6" t="s">
        <v>6361</v>
      </c>
      <c r="C1065" s="7">
        <v>1608</v>
      </c>
      <c r="D1065" s="8" t="s">
        <v>6362</v>
      </c>
      <c r="E1065" s="8" t="s">
        <v>6363</v>
      </c>
      <c r="F1065" s="8" t="s">
        <v>6364</v>
      </c>
      <c r="G1065" s="6" t="s">
        <v>38</v>
      </c>
      <c r="H1065" s="6" t="s">
        <v>182</v>
      </c>
      <c r="I1065" s="8" t="s">
        <v>40</v>
      </c>
      <c r="J1065" s="9">
        <v>1</v>
      </c>
      <c r="K1065" s="9">
        <v>298</v>
      </c>
      <c r="L1065" s="9">
        <v>2023</v>
      </c>
      <c r="M1065" s="8" t="s">
        <v>6365</v>
      </c>
      <c r="N1065" s="8" t="s">
        <v>42</v>
      </c>
      <c r="O1065" s="8" t="s">
        <v>1002</v>
      </c>
      <c r="P1065" s="6" t="s">
        <v>44</v>
      </c>
      <c r="Q1065" s="8" t="s">
        <v>45</v>
      </c>
      <c r="R1065" s="10" t="s">
        <v>6366</v>
      </c>
      <c r="S1065" s="11"/>
      <c r="T1065" s="6"/>
      <c r="U1065" s="24" t="str">
        <f>HYPERLINK("https://media.infra-m.ru/1919/1919452/cover/1919452.jpg", "Обложка")</f>
        <v>Обложка</v>
      </c>
      <c r="V1065" s="24" t="str">
        <f>HYPERLINK("https://znanium.ru/catalog/product/1919452", "Ознакомиться")</f>
        <v>Ознакомиться</v>
      </c>
      <c r="W1065" s="8" t="s">
        <v>93</v>
      </c>
      <c r="X1065" s="6"/>
      <c r="Y1065" s="6"/>
      <c r="Z1065" s="6"/>
      <c r="AA1065" s="6" t="s">
        <v>290</v>
      </c>
      <c r="AB1065" s="8"/>
    </row>
    <row r="1066" spans="1:28" s="4" customFormat="1" ht="51.95" customHeight="1">
      <c r="A1066" s="5">
        <v>0</v>
      </c>
      <c r="B1066" s="6" t="s">
        <v>6367</v>
      </c>
      <c r="C1066" s="7">
        <v>2052</v>
      </c>
      <c r="D1066" s="8" t="s">
        <v>6368</v>
      </c>
      <c r="E1066" s="8" t="s">
        <v>6369</v>
      </c>
      <c r="F1066" s="8" t="s">
        <v>6364</v>
      </c>
      <c r="G1066" s="6" t="s">
        <v>38</v>
      </c>
      <c r="H1066" s="6" t="s">
        <v>39</v>
      </c>
      <c r="I1066" s="8" t="s">
        <v>40</v>
      </c>
      <c r="J1066" s="9">
        <v>1</v>
      </c>
      <c r="K1066" s="9">
        <v>324</v>
      </c>
      <c r="L1066" s="9">
        <v>2026</v>
      </c>
      <c r="M1066" s="8" t="s">
        <v>6370</v>
      </c>
      <c r="N1066" s="8" t="s">
        <v>54</v>
      </c>
      <c r="O1066" s="8" t="s">
        <v>91</v>
      </c>
      <c r="P1066" s="6" t="s">
        <v>44</v>
      </c>
      <c r="Q1066" s="8" t="s">
        <v>45</v>
      </c>
      <c r="R1066" s="10" t="s">
        <v>6371</v>
      </c>
      <c r="S1066" s="11"/>
      <c r="T1066" s="6"/>
      <c r="U1066" s="24" t="str">
        <f>HYPERLINK("https://media.infra-m.ru/2221/2221506/cover/2221506.jpg", "Обложка")</f>
        <v>Обложка</v>
      </c>
      <c r="V1066" s="24" t="str">
        <f>HYPERLINK("https://znanium.ru/catalog/product/2221506", "Ознакомиться")</f>
        <v>Ознакомиться</v>
      </c>
      <c r="W1066" s="8" t="s">
        <v>93</v>
      </c>
      <c r="X1066" s="6"/>
      <c r="Y1066" s="6"/>
      <c r="Z1066" s="6"/>
      <c r="AA1066" s="6" t="s">
        <v>199</v>
      </c>
      <c r="AB1066" s="8"/>
    </row>
    <row r="1067" spans="1:28" s="4" customFormat="1" ht="42" customHeight="1">
      <c r="A1067" s="5">
        <v>0</v>
      </c>
      <c r="B1067" s="6" t="s">
        <v>6372</v>
      </c>
      <c r="C1067" s="13">
        <v>918</v>
      </c>
      <c r="D1067" s="8" t="s">
        <v>6373</v>
      </c>
      <c r="E1067" s="8" t="s">
        <v>6374</v>
      </c>
      <c r="F1067" s="8"/>
      <c r="G1067" s="6" t="s">
        <v>26</v>
      </c>
      <c r="H1067" s="6" t="s">
        <v>99</v>
      </c>
      <c r="I1067" s="8"/>
      <c r="J1067" s="9">
        <v>1</v>
      </c>
      <c r="K1067" s="9">
        <v>112</v>
      </c>
      <c r="L1067" s="9">
        <v>2021</v>
      </c>
      <c r="M1067" s="8" t="s">
        <v>6375</v>
      </c>
      <c r="N1067" s="8" t="s">
        <v>42</v>
      </c>
      <c r="O1067" s="8" t="s">
        <v>101</v>
      </c>
      <c r="P1067" s="6" t="s">
        <v>44</v>
      </c>
      <c r="Q1067" s="8" t="s">
        <v>45</v>
      </c>
      <c r="R1067" s="10" t="s">
        <v>269</v>
      </c>
      <c r="S1067" s="11"/>
      <c r="T1067" s="6"/>
      <c r="U1067" s="24" t="str">
        <f>HYPERLINK("https://media.infra-m.ru/1551/1551062/cover/1551062.jpg", "Обложка")</f>
        <v>Обложка</v>
      </c>
      <c r="V1067" s="24" t="str">
        <f>HYPERLINK("https://znanium.ru/catalog/product/1302351", "Ознакомиться")</f>
        <v>Ознакомиться</v>
      </c>
      <c r="W1067" s="8"/>
      <c r="X1067" s="6"/>
      <c r="Y1067" s="6"/>
      <c r="Z1067" s="6"/>
      <c r="AA1067" s="6" t="s">
        <v>199</v>
      </c>
      <c r="AB1067" s="8"/>
    </row>
    <row r="1068" spans="1:28" s="4" customFormat="1" ht="42" customHeight="1">
      <c r="A1068" s="5">
        <v>0</v>
      </c>
      <c r="B1068" s="6" t="s">
        <v>6376</v>
      </c>
      <c r="C1068" s="13">
        <v>708</v>
      </c>
      <c r="D1068" s="8" t="s">
        <v>6377</v>
      </c>
      <c r="E1068" s="8" t="s">
        <v>6378</v>
      </c>
      <c r="F1068" s="8" t="s">
        <v>6379</v>
      </c>
      <c r="G1068" s="6" t="s">
        <v>38</v>
      </c>
      <c r="H1068" s="6" t="s">
        <v>1019</v>
      </c>
      <c r="I1068" s="8"/>
      <c r="J1068" s="9">
        <v>1</v>
      </c>
      <c r="K1068" s="9">
        <v>125</v>
      </c>
      <c r="L1068" s="9">
        <v>2024</v>
      </c>
      <c r="M1068" s="8" t="s">
        <v>6380</v>
      </c>
      <c r="N1068" s="8" t="s">
        <v>284</v>
      </c>
      <c r="O1068" s="8" t="s">
        <v>1549</v>
      </c>
      <c r="P1068" s="6" t="s">
        <v>44</v>
      </c>
      <c r="Q1068" s="8" t="s">
        <v>45</v>
      </c>
      <c r="R1068" s="10" t="s">
        <v>6381</v>
      </c>
      <c r="S1068" s="11"/>
      <c r="T1068" s="6"/>
      <c r="U1068" s="24" t="str">
        <f>HYPERLINK("https://media.infra-m.ru/2119/2119944/cover/2119944.jpg", "Обложка")</f>
        <v>Обложка</v>
      </c>
      <c r="V1068" s="24" t="str">
        <f>HYPERLINK("https://znanium.ru/catalog/product/2119944", "Ознакомиться")</f>
        <v>Ознакомиться</v>
      </c>
      <c r="W1068" s="8" t="s">
        <v>176</v>
      </c>
      <c r="X1068" s="6"/>
      <c r="Y1068" s="6"/>
      <c r="Z1068" s="6"/>
      <c r="AA1068" s="6" t="s">
        <v>339</v>
      </c>
      <c r="AB1068" s="8"/>
    </row>
    <row r="1069" spans="1:28" s="4" customFormat="1" ht="44.1" customHeight="1">
      <c r="A1069" s="5">
        <v>0</v>
      </c>
      <c r="B1069" s="6" t="s">
        <v>6382</v>
      </c>
      <c r="C1069" s="7">
        <v>1370.4</v>
      </c>
      <c r="D1069" s="8" t="s">
        <v>6383</v>
      </c>
      <c r="E1069" s="8" t="s">
        <v>6384</v>
      </c>
      <c r="F1069" s="8" t="s">
        <v>6385</v>
      </c>
      <c r="G1069" s="6" t="s">
        <v>81</v>
      </c>
      <c r="H1069" s="6" t="s">
        <v>39</v>
      </c>
      <c r="I1069" s="8" t="s">
        <v>344</v>
      </c>
      <c r="J1069" s="9">
        <v>1</v>
      </c>
      <c r="K1069" s="9">
        <v>194</v>
      </c>
      <c r="L1069" s="9">
        <v>2023</v>
      </c>
      <c r="M1069" s="8" t="s">
        <v>6386</v>
      </c>
      <c r="N1069" s="8" t="s">
        <v>284</v>
      </c>
      <c r="O1069" s="8" t="s">
        <v>285</v>
      </c>
      <c r="P1069" s="6" t="s">
        <v>44</v>
      </c>
      <c r="Q1069" s="8" t="s">
        <v>45</v>
      </c>
      <c r="R1069" s="10" t="s">
        <v>6387</v>
      </c>
      <c r="S1069" s="11"/>
      <c r="T1069" s="6"/>
      <c r="U1069" s="24" t="str">
        <f>HYPERLINK("https://media.infra-m.ru/2006/2006877/cover/2006877.jpg", "Обложка")</f>
        <v>Обложка</v>
      </c>
      <c r="V1069" s="12"/>
      <c r="W1069" s="8" t="s">
        <v>346</v>
      </c>
      <c r="X1069" s="6"/>
      <c r="Y1069" s="6"/>
      <c r="Z1069" s="6"/>
      <c r="AA1069" s="6" t="s">
        <v>68</v>
      </c>
      <c r="AB1069" s="8"/>
    </row>
    <row r="1070" spans="1:28" s="4" customFormat="1" ht="42" customHeight="1">
      <c r="A1070" s="5">
        <v>0</v>
      </c>
      <c r="B1070" s="6" t="s">
        <v>6388</v>
      </c>
      <c r="C1070" s="13">
        <v>792</v>
      </c>
      <c r="D1070" s="8" t="s">
        <v>6389</v>
      </c>
      <c r="E1070" s="8" t="s">
        <v>6390</v>
      </c>
      <c r="F1070" s="8" t="s">
        <v>6391</v>
      </c>
      <c r="G1070" s="6" t="s">
        <v>38</v>
      </c>
      <c r="H1070" s="6" t="s">
        <v>39</v>
      </c>
      <c r="I1070" s="8" t="s">
        <v>344</v>
      </c>
      <c r="J1070" s="9">
        <v>1</v>
      </c>
      <c r="K1070" s="9">
        <v>143</v>
      </c>
      <c r="L1070" s="9">
        <v>2024</v>
      </c>
      <c r="M1070" s="8" t="s">
        <v>6392</v>
      </c>
      <c r="N1070" s="8" t="s">
        <v>284</v>
      </c>
      <c r="O1070" s="8" t="s">
        <v>383</v>
      </c>
      <c r="P1070" s="6" t="s">
        <v>44</v>
      </c>
      <c r="Q1070" s="8" t="s">
        <v>45</v>
      </c>
      <c r="R1070" s="10" t="s">
        <v>6393</v>
      </c>
      <c r="S1070" s="11"/>
      <c r="T1070" s="6"/>
      <c r="U1070" s="24" t="str">
        <f>HYPERLINK("https://media.infra-m.ru/2081/2081065/cover/2081065.jpg", "Обложка")</f>
        <v>Обложка</v>
      </c>
      <c r="V1070" s="12"/>
      <c r="W1070" s="8" t="s">
        <v>346</v>
      </c>
      <c r="X1070" s="6"/>
      <c r="Y1070" s="6"/>
      <c r="Z1070" s="6"/>
      <c r="AA1070" s="6" t="s">
        <v>68</v>
      </c>
      <c r="AB1070" s="8"/>
    </row>
    <row r="1071" spans="1:28" s="4" customFormat="1" ht="42" customHeight="1">
      <c r="A1071" s="5">
        <v>0</v>
      </c>
      <c r="B1071" s="6" t="s">
        <v>6394</v>
      </c>
      <c r="C1071" s="13">
        <v>864</v>
      </c>
      <c r="D1071" s="8" t="s">
        <v>6395</v>
      </c>
      <c r="E1071" s="8" t="s">
        <v>6396</v>
      </c>
      <c r="F1071" s="8" t="s">
        <v>6397</v>
      </c>
      <c r="G1071" s="6" t="s">
        <v>38</v>
      </c>
      <c r="H1071" s="6" t="s">
        <v>39</v>
      </c>
      <c r="I1071" s="8" t="s">
        <v>40</v>
      </c>
      <c r="J1071" s="9">
        <v>1</v>
      </c>
      <c r="K1071" s="9">
        <v>154</v>
      </c>
      <c r="L1071" s="9">
        <v>2023</v>
      </c>
      <c r="M1071" s="8" t="s">
        <v>6398</v>
      </c>
      <c r="N1071" s="8" t="s">
        <v>220</v>
      </c>
      <c r="O1071" s="8" t="s">
        <v>296</v>
      </c>
      <c r="P1071" s="6" t="s">
        <v>44</v>
      </c>
      <c r="Q1071" s="8" t="s">
        <v>45</v>
      </c>
      <c r="R1071" s="10" t="s">
        <v>6399</v>
      </c>
      <c r="S1071" s="11"/>
      <c r="T1071" s="6"/>
      <c r="U1071" s="24" t="str">
        <f>HYPERLINK("https://media.infra-m.ru/2125/2125466/cover/2125466.jpg", "Обложка")</f>
        <v>Обложка</v>
      </c>
      <c r="V1071" s="24" t="str">
        <f>HYPERLINK("https://znanium.ru/catalog/product/2125466", "Ознакомиться")</f>
        <v>Ознакомиться</v>
      </c>
      <c r="W1071" s="8" t="s">
        <v>2131</v>
      </c>
      <c r="X1071" s="6"/>
      <c r="Y1071" s="6"/>
      <c r="Z1071" s="6"/>
      <c r="AA1071" s="6" t="s">
        <v>68</v>
      </c>
      <c r="AB1071" s="8"/>
    </row>
    <row r="1072" spans="1:28" s="4" customFormat="1" ht="42" customHeight="1">
      <c r="A1072" s="5">
        <v>0</v>
      </c>
      <c r="B1072" s="6" t="s">
        <v>6400</v>
      </c>
      <c r="C1072" s="7">
        <v>1360.8</v>
      </c>
      <c r="D1072" s="8" t="s">
        <v>6401</v>
      </c>
      <c r="E1072" s="8" t="s">
        <v>6402</v>
      </c>
      <c r="F1072" s="8" t="s">
        <v>6403</v>
      </c>
      <c r="G1072" s="6" t="s">
        <v>38</v>
      </c>
      <c r="H1072" s="6" t="s">
        <v>39</v>
      </c>
      <c r="I1072" s="8" t="s">
        <v>164</v>
      </c>
      <c r="J1072" s="9">
        <v>1</v>
      </c>
      <c r="K1072" s="9">
        <v>219</v>
      </c>
      <c r="L1072" s="9">
        <v>2025</v>
      </c>
      <c r="M1072" s="8" t="s">
        <v>6404</v>
      </c>
      <c r="N1072" s="8" t="s">
        <v>42</v>
      </c>
      <c r="O1072" s="8" t="s">
        <v>189</v>
      </c>
      <c r="P1072" s="6" t="s">
        <v>44</v>
      </c>
      <c r="Q1072" s="8" t="s">
        <v>45</v>
      </c>
      <c r="R1072" s="10" t="s">
        <v>6405</v>
      </c>
      <c r="S1072" s="11"/>
      <c r="T1072" s="6"/>
      <c r="U1072" s="24" t="str">
        <f>HYPERLINK("https://media.infra-m.ru/2193/2193174/cover/2193174.jpg", "Обложка")</f>
        <v>Обложка</v>
      </c>
      <c r="V1072" s="24" t="str">
        <f>HYPERLINK("https://znanium.ru/catalog/product/2061202", "Ознакомиться")</f>
        <v>Ознакомиться</v>
      </c>
      <c r="W1072" s="8" t="s">
        <v>167</v>
      </c>
      <c r="X1072" s="6"/>
      <c r="Y1072" s="6"/>
      <c r="Z1072" s="6"/>
      <c r="AA1072" s="6" t="s">
        <v>1154</v>
      </c>
      <c r="AB1072" s="8"/>
    </row>
    <row r="1073" spans="1:28" s="4" customFormat="1" ht="44.1" customHeight="1">
      <c r="A1073" s="5">
        <v>0</v>
      </c>
      <c r="B1073" s="6" t="s">
        <v>6406</v>
      </c>
      <c r="C1073" s="7">
        <v>1397.9</v>
      </c>
      <c r="D1073" s="8" t="s">
        <v>6407</v>
      </c>
      <c r="E1073" s="8" t="s">
        <v>6408</v>
      </c>
      <c r="F1073" s="8" t="s">
        <v>6409</v>
      </c>
      <c r="G1073" s="6" t="s">
        <v>132</v>
      </c>
      <c r="H1073" s="6" t="s">
        <v>39</v>
      </c>
      <c r="I1073" s="8" t="s">
        <v>344</v>
      </c>
      <c r="J1073" s="9">
        <v>1</v>
      </c>
      <c r="K1073" s="9">
        <v>259</v>
      </c>
      <c r="L1073" s="9">
        <v>2023</v>
      </c>
      <c r="M1073" s="8" t="s">
        <v>6410</v>
      </c>
      <c r="N1073" s="8" t="s">
        <v>42</v>
      </c>
      <c r="O1073" s="8" t="s">
        <v>189</v>
      </c>
      <c r="P1073" s="6" t="s">
        <v>44</v>
      </c>
      <c r="Q1073" s="8" t="s">
        <v>45</v>
      </c>
      <c r="R1073" s="10" t="s">
        <v>1426</v>
      </c>
      <c r="S1073" s="11"/>
      <c r="T1073" s="6"/>
      <c r="U1073" s="24" t="str">
        <f>HYPERLINK("https://media.infra-m.ru/2006/2006869/cover/2006869.jpg", "Обложка")</f>
        <v>Обложка</v>
      </c>
      <c r="V1073" s="12"/>
      <c r="W1073" s="8" t="s">
        <v>346</v>
      </c>
      <c r="X1073" s="6"/>
      <c r="Y1073" s="6"/>
      <c r="Z1073" s="6"/>
      <c r="AA1073" s="6" t="s">
        <v>68</v>
      </c>
      <c r="AB1073" s="8"/>
    </row>
    <row r="1074" spans="1:28" s="4" customFormat="1" ht="51.95" customHeight="1">
      <c r="A1074" s="5">
        <v>0</v>
      </c>
      <c r="B1074" s="6" t="s">
        <v>6411</v>
      </c>
      <c r="C1074" s="7">
        <v>2045.9</v>
      </c>
      <c r="D1074" s="8" t="s">
        <v>6412</v>
      </c>
      <c r="E1074" s="8" t="s">
        <v>6413</v>
      </c>
      <c r="F1074" s="8" t="s">
        <v>6414</v>
      </c>
      <c r="G1074" s="6" t="s">
        <v>81</v>
      </c>
      <c r="H1074" s="6" t="s">
        <v>39</v>
      </c>
      <c r="I1074" s="8" t="s">
        <v>40</v>
      </c>
      <c r="J1074" s="9">
        <v>1</v>
      </c>
      <c r="K1074" s="9">
        <v>436</v>
      </c>
      <c r="L1074" s="9">
        <v>2022</v>
      </c>
      <c r="M1074" s="8" t="s">
        <v>6415</v>
      </c>
      <c r="N1074" s="8" t="s">
        <v>284</v>
      </c>
      <c r="O1074" s="8" t="s">
        <v>2265</v>
      </c>
      <c r="P1074" s="6" t="s">
        <v>44</v>
      </c>
      <c r="Q1074" s="8" t="s">
        <v>45</v>
      </c>
      <c r="R1074" s="10" t="s">
        <v>6416</v>
      </c>
      <c r="S1074" s="11" t="s">
        <v>6417</v>
      </c>
      <c r="T1074" s="6"/>
      <c r="U1074" s="24" t="str">
        <f>HYPERLINK("https://media.infra-m.ru/1853/1853672/cover/1853672.jpg", "Обложка")</f>
        <v>Обложка</v>
      </c>
      <c r="V1074" s="24" t="str">
        <f>HYPERLINK("https://znanium.ru/catalog/product/1979935", "Ознакомиться")</f>
        <v>Ознакомиться</v>
      </c>
      <c r="W1074" s="8" t="s">
        <v>6418</v>
      </c>
      <c r="X1074" s="6"/>
      <c r="Y1074" s="6"/>
      <c r="Z1074" s="6"/>
      <c r="AA1074" s="6" t="s">
        <v>76</v>
      </c>
      <c r="AB1074" s="8"/>
    </row>
    <row r="1075" spans="1:28" s="4" customFormat="1" ht="51.95" customHeight="1">
      <c r="A1075" s="5">
        <v>0</v>
      </c>
      <c r="B1075" s="6" t="s">
        <v>6419</v>
      </c>
      <c r="C1075" s="7">
        <v>2388</v>
      </c>
      <c r="D1075" s="8" t="s">
        <v>6420</v>
      </c>
      <c r="E1075" s="8" t="s">
        <v>6421</v>
      </c>
      <c r="F1075" s="8" t="s">
        <v>6422</v>
      </c>
      <c r="G1075" s="6" t="s">
        <v>132</v>
      </c>
      <c r="H1075" s="6" t="s">
        <v>39</v>
      </c>
      <c r="I1075" s="8" t="s">
        <v>40</v>
      </c>
      <c r="J1075" s="9">
        <v>1</v>
      </c>
      <c r="K1075" s="9">
        <v>439</v>
      </c>
      <c r="L1075" s="9">
        <v>2023</v>
      </c>
      <c r="M1075" s="8" t="s">
        <v>6423</v>
      </c>
      <c r="N1075" s="8" t="s">
        <v>284</v>
      </c>
      <c r="O1075" s="8" t="s">
        <v>2265</v>
      </c>
      <c r="P1075" s="6" t="s">
        <v>44</v>
      </c>
      <c r="Q1075" s="8" t="s">
        <v>45</v>
      </c>
      <c r="R1075" s="10" t="s">
        <v>6416</v>
      </c>
      <c r="S1075" s="11" t="s">
        <v>6417</v>
      </c>
      <c r="T1075" s="6"/>
      <c r="U1075" s="24" t="str">
        <f>HYPERLINK("https://media.infra-m.ru/1979/1979935/cover/1979935.jpg", "Обложка")</f>
        <v>Обложка</v>
      </c>
      <c r="V1075" s="24" t="str">
        <f>HYPERLINK("https://znanium.ru/catalog/product/1979935", "Ознакомиться")</f>
        <v>Ознакомиться</v>
      </c>
      <c r="W1075" s="8" t="s">
        <v>3600</v>
      </c>
      <c r="X1075" s="6"/>
      <c r="Y1075" s="6"/>
      <c r="Z1075" s="6"/>
      <c r="AA1075" s="6" t="s">
        <v>424</v>
      </c>
      <c r="AB1075" s="8"/>
    </row>
    <row r="1076" spans="1:28" s="4" customFormat="1" ht="44.1" customHeight="1">
      <c r="A1076" s="5">
        <v>0</v>
      </c>
      <c r="B1076" s="6" t="s">
        <v>6424</v>
      </c>
      <c r="C1076" s="7">
        <v>1397.9</v>
      </c>
      <c r="D1076" s="8" t="s">
        <v>6425</v>
      </c>
      <c r="E1076" s="8" t="s">
        <v>6426</v>
      </c>
      <c r="F1076" s="8" t="s">
        <v>6427</v>
      </c>
      <c r="G1076" s="6" t="s">
        <v>81</v>
      </c>
      <c r="H1076" s="6" t="s">
        <v>39</v>
      </c>
      <c r="I1076" s="8" t="s">
        <v>40</v>
      </c>
      <c r="J1076" s="9">
        <v>1</v>
      </c>
      <c r="K1076" s="9">
        <v>258</v>
      </c>
      <c r="L1076" s="9">
        <v>2023</v>
      </c>
      <c r="M1076" s="8" t="s">
        <v>6428</v>
      </c>
      <c r="N1076" s="8" t="s">
        <v>42</v>
      </c>
      <c r="O1076" s="8" t="s">
        <v>101</v>
      </c>
      <c r="P1076" s="6" t="s">
        <v>44</v>
      </c>
      <c r="Q1076" s="8" t="s">
        <v>45</v>
      </c>
      <c r="R1076" s="10" t="s">
        <v>564</v>
      </c>
      <c r="S1076" s="11"/>
      <c r="T1076" s="6"/>
      <c r="U1076" s="24" t="str">
        <f>HYPERLINK("https://media.infra-m.ru/2006/2006907/cover/2006907.jpg", "Обложка")</f>
        <v>Обложка</v>
      </c>
      <c r="V1076" s="24" t="str">
        <f>HYPERLINK("https://znanium.ru/catalog/product/1066511", "Ознакомиться")</f>
        <v>Ознакомиться</v>
      </c>
      <c r="W1076" s="8" t="s">
        <v>6429</v>
      </c>
      <c r="X1076" s="6"/>
      <c r="Y1076" s="6"/>
      <c r="Z1076" s="6"/>
      <c r="AA1076" s="6" t="s">
        <v>68</v>
      </c>
      <c r="AB1076" s="8"/>
    </row>
    <row r="1077" spans="1:28" s="4" customFormat="1" ht="51.95" customHeight="1">
      <c r="A1077" s="5">
        <v>0</v>
      </c>
      <c r="B1077" s="6" t="s">
        <v>6430</v>
      </c>
      <c r="C1077" s="7">
        <v>1488</v>
      </c>
      <c r="D1077" s="8" t="s">
        <v>6431</v>
      </c>
      <c r="E1077" s="8" t="s">
        <v>6432</v>
      </c>
      <c r="F1077" s="8" t="s">
        <v>4526</v>
      </c>
      <c r="G1077" s="6" t="s">
        <v>132</v>
      </c>
      <c r="H1077" s="6" t="s">
        <v>39</v>
      </c>
      <c r="I1077" s="8" t="s">
        <v>40</v>
      </c>
      <c r="J1077" s="9">
        <v>1</v>
      </c>
      <c r="K1077" s="9">
        <v>241</v>
      </c>
      <c r="L1077" s="9">
        <v>2024</v>
      </c>
      <c r="M1077" s="8" t="s">
        <v>6433</v>
      </c>
      <c r="N1077" s="8" t="s">
        <v>284</v>
      </c>
      <c r="O1077" s="8" t="s">
        <v>2265</v>
      </c>
      <c r="P1077" s="6" t="s">
        <v>44</v>
      </c>
      <c r="Q1077" s="8" t="s">
        <v>45</v>
      </c>
      <c r="R1077" s="10" t="s">
        <v>6434</v>
      </c>
      <c r="S1077" s="11"/>
      <c r="T1077" s="6"/>
      <c r="U1077" s="24" t="str">
        <f>HYPERLINK("https://media.infra-m.ru/2124/2124804/cover/2124804.jpg", "Обложка")</f>
        <v>Обложка</v>
      </c>
      <c r="V1077" s="24" t="str">
        <f>HYPERLINK("https://znanium.ru/catalog/product/2124804", "Ознакомиться")</f>
        <v>Ознакомиться</v>
      </c>
      <c r="W1077" s="8" t="s">
        <v>289</v>
      </c>
      <c r="X1077" s="6"/>
      <c r="Y1077" s="6"/>
      <c r="Z1077" s="6"/>
      <c r="AA1077" s="6" t="s">
        <v>58</v>
      </c>
      <c r="AB1077" s="8"/>
    </row>
    <row r="1078" spans="1:28" s="4" customFormat="1" ht="51.95" customHeight="1">
      <c r="A1078" s="5">
        <v>0</v>
      </c>
      <c r="B1078" s="6" t="s">
        <v>6435</v>
      </c>
      <c r="C1078" s="7">
        <v>1380</v>
      </c>
      <c r="D1078" s="8" t="s">
        <v>6436</v>
      </c>
      <c r="E1078" s="8" t="s">
        <v>6437</v>
      </c>
      <c r="F1078" s="8" t="s">
        <v>6438</v>
      </c>
      <c r="G1078" s="6" t="s">
        <v>38</v>
      </c>
      <c r="H1078" s="6" t="s">
        <v>39</v>
      </c>
      <c r="I1078" s="8" t="s">
        <v>40</v>
      </c>
      <c r="J1078" s="9">
        <v>1</v>
      </c>
      <c r="K1078" s="9">
        <v>265</v>
      </c>
      <c r="L1078" s="9">
        <v>2022</v>
      </c>
      <c r="M1078" s="8" t="s">
        <v>6439</v>
      </c>
      <c r="N1078" s="8" t="s">
        <v>284</v>
      </c>
      <c r="O1078" s="8" t="s">
        <v>328</v>
      </c>
      <c r="P1078" s="6" t="s">
        <v>44</v>
      </c>
      <c r="Q1078" s="8" t="s">
        <v>45</v>
      </c>
      <c r="R1078" s="10" t="s">
        <v>6440</v>
      </c>
      <c r="S1078" s="11"/>
      <c r="T1078" s="6"/>
      <c r="U1078" s="24" t="str">
        <f>HYPERLINK("https://media.infra-m.ru/1860/1860140/cover/1860140.jpg", "Обложка")</f>
        <v>Обложка</v>
      </c>
      <c r="V1078" s="24" t="str">
        <f>HYPERLINK("https://znanium.ru/catalog/product/1860140", "Ознакомиться")</f>
        <v>Ознакомиться</v>
      </c>
      <c r="W1078" s="8" t="s">
        <v>6441</v>
      </c>
      <c r="X1078" s="6"/>
      <c r="Y1078" s="6"/>
      <c r="Z1078" s="6"/>
      <c r="AA1078" s="6" t="s">
        <v>111</v>
      </c>
      <c r="AB1078" s="8" t="s">
        <v>917</v>
      </c>
    </row>
    <row r="1079" spans="1:28" s="4" customFormat="1" ht="42" customHeight="1">
      <c r="A1079" s="5">
        <v>0</v>
      </c>
      <c r="B1079" s="6" t="s">
        <v>6442</v>
      </c>
      <c r="C1079" s="13">
        <v>660</v>
      </c>
      <c r="D1079" s="8" t="s">
        <v>6443</v>
      </c>
      <c r="E1079" s="8" t="s">
        <v>6444</v>
      </c>
      <c r="F1079" s="8" t="s">
        <v>1511</v>
      </c>
      <c r="G1079" s="6" t="s">
        <v>38</v>
      </c>
      <c r="H1079" s="6" t="s">
        <v>39</v>
      </c>
      <c r="I1079" s="8" t="s">
        <v>40</v>
      </c>
      <c r="J1079" s="9">
        <v>1</v>
      </c>
      <c r="K1079" s="9">
        <v>162</v>
      </c>
      <c r="L1079" s="9">
        <v>2019</v>
      </c>
      <c r="M1079" s="8" t="s">
        <v>6445</v>
      </c>
      <c r="N1079" s="8" t="s">
        <v>284</v>
      </c>
      <c r="O1079" s="8" t="s">
        <v>312</v>
      </c>
      <c r="P1079" s="6" t="s">
        <v>44</v>
      </c>
      <c r="Q1079" s="8" t="s">
        <v>45</v>
      </c>
      <c r="R1079" s="10" t="s">
        <v>6446</v>
      </c>
      <c r="S1079" s="11"/>
      <c r="T1079" s="6"/>
      <c r="U1079" s="24" t="str">
        <f>HYPERLINK("https://media.infra-m.ru/0961/0961837/cover/961837.jpg", "Обложка")</f>
        <v>Обложка</v>
      </c>
      <c r="V1079" s="24" t="str">
        <f>HYPERLINK("https://znanium.ru/catalog/product/961837", "Ознакомиться")</f>
        <v>Ознакомиться</v>
      </c>
      <c r="W1079" s="8" t="s">
        <v>1514</v>
      </c>
      <c r="X1079" s="6"/>
      <c r="Y1079" s="6"/>
      <c r="Z1079" s="6"/>
      <c r="AA1079" s="6" t="s">
        <v>76</v>
      </c>
      <c r="AB1079" s="8"/>
    </row>
    <row r="1080" spans="1:28" s="4" customFormat="1" ht="51.95" customHeight="1">
      <c r="A1080" s="5">
        <v>0</v>
      </c>
      <c r="B1080" s="6" t="s">
        <v>6447</v>
      </c>
      <c r="C1080" s="7">
        <v>1428</v>
      </c>
      <c r="D1080" s="8" t="s">
        <v>6448</v>
      </c>
      <c r="E1080" s="8" t="s">
        <v>6449</v>
      </c>
      <c r="F1080" s="8" t="s">
        <v>6450</v>
      </c>
      <c r="G1080" s="6" t="s">
        <v>38</v>
      </c>
      <c r="H1080" s="6" t="s">
        <v>39</v>
      </c>
      <c r="I1080" s="8" t="s">
        <v>40</v>
      </c>
      <c r="J1080" s="9">
        <v>1</v>
      </c>
      <c r="K1080" s="9">
        <v>249</v>
      </c>
      <c r="L1080" s="9">
        <v>2022</v>
      </c>
      <c r="M1080" s="8" t="s">
        <v>6451</v>
      </c>
      <c r="N1080" s="8" t="s">
        <v>284</v>
      </c>
      <c r="O1080" s="8" t="s">
        <v>285</v>
      </c>
      <c r="P1080" s="6" t="s">
        <v>44</v>
      </c>
      <c r="Q1080" s="8" t="s">
        <v>45</v>
      </c>
      <c r="R1080" s="10" t="s">
        <v>6452</v>
      </c>
      <c r="S1080" s="11"/>
      <c r="T1080" s="6"/>
      <c r="U1080" s="24" t="str">
        <f>HYPERLINK("https://media.infra-m.ru/1865/1865376/cover/1865376.jpg", "Обложка")</f>
        <v>Обложка</v>
      </c>
      <c r="V1080" s="24" t="str">
        <f>HYPERLINK("https://znanium.ru/catalog/product/1865376", "Ознакомиться")</f>
        <v>Ознакомиться</v>
      </c>
      <c r="W1080" s="8" t="s">
        <v>699</v>
      </c>
      <c r="X1080" s="6"/>
      <c r="Y1080" s="6"/>
      <c r="Z1080" s="6"/>
      <c r="AA1080" s="6" t="s">
        <v>111</v>
      </c>
      <c r="AB1080" s="8"/>
    </row>
    <row r="1081" spans="1:28" s="4" customFormat="1" ht="42" customHeight="1">
      <c r="A1081" s="5">
        <v>0</v>
      </c>
      <c r="B1081" s="6" t="s">
        <v>6453</v>
      </c>
      <c r="C1081" s="7">
        <v>1672.8</v>
      </c>
      <c r="D1081" s="8" t="s">
        <v>6454</v>
      </c>
      <c r="E1081" s="8" t="s">
        <v>6455</v>
      </c>
      <c r="F1081" s="8" t="s">
        <v>6456</v>
      </c>
      <c r="G1081" s="6" t="s">
        <v>132</v>
      </c>
      <c r="H1081" s="6" t="s">
        <v>39</v>
      </c>
      <c r="I1081" s="8" t="s">
        <v>344</v>
      </c>
      <c r="J1081" s="9">
        <v>1</v>
      </c>
      <c r="K1081" s="9">
        <v>304</v>
      </c>
      <c r="L1081" s="9">
        <v>2024</v>
      </c>
      <c r="M1081" s="8" t="s">
        <v>6457</v>
      </c>
      <c r="N1081" s="8" t="s">
        <v>220</v>
      </c>
      <c r="O1081" s="8" t="s">
        <v>252</v>
      </c>
      <c r="P1081" s="6" t="s">
        <v>44</v>
      </c>
      <c r="Q1081" s="8" t="s">
        <v>45</v>
      </c>
      <c r="R1081" s="10" t="s">
        <v>6458</v>
      </c>
      <c r="S1081" s="11"/>
      <c r="T1081" s="6"/>
      <c r="U1081" s="24" t="str">
        <f>HYPERLINK("https://media.infra-m.ru/2124/2124916/cover/2124916.jpg", "Обложка")</f>
        <v>Обложка</v>
      </c>
      <c r="V1081" s="12"/>
      <c r="W1081" s="8" t="s">
        <v>191</v>
      </c>
      <c r="X1081" s="6"/>
      <c r="Y1081" s="6"/>
      <c r="Z1081" s="6"/>
      <c r="AA1081" s="6" t="s">
        <v>68</v>
      </c>
      <c r="AB1081" s="8"/>
    </row>
    <row r="1082" spans="1:28" s="4" customFormat="1" ht="44.1" customHeight="1">
      <c r="A1082" s="5">
        <v>0</v>
      </c>
      <c r="B1082" s="6" t="s">
        <v>6459</v>
      </c>
      <c r="C1082" s="7">
        <v>2292</v>
      </c>
      <c r="D1082" s="8" t="s">
        <v>6460</v>
      </c>
      <c r="E1082" s="8" t="s">
        <v>6461</v>
      </c>
      <c r="F1082" s="8" t="s">
        <v>6462</v>
      </c>
      <c r="G1082" s="6" t="s">
        <v>132</v>
      </c>
      <c r="H1082" s="6" t="s">
        <v>39</v>
      </c>
      <c r="I1082" s="8" t="s">
        <v>40</v>
      </c>
      <c r="J1082" s="9">
        <v>1</v>
      </c>
      <c r="K1082" s="9">
        <v>408</v>
      </c>
      <c r="L1082" s="9">
        <v>2025</v>
      </c>
      <c r="M1082" s="8" t="s">
        <v>6463</v>
      </c>
      <c r="N1082" s="8" t="s">
        <v>284</v>
      </c>
      <c r="O1082" s="8" t="s">
        <v>383</v>
      </c>
      <c r="P1082" s="6" t="s">
        <v>44</v>
      </c>
      <c r="Q1082" s="8" t="s">
        <v>45</v>
      </c>
      <c r="R1082" s="10" t="s">
        <v>6464</v>
      </c>
      <c r="S1082" s="11"/>
      <c r="T1082" s="6"/>
      <c r="U1082" s="24" t="str">
        <f>HYPERLINK("https://media.infra-m.ru/2137/2137603/cover/2137603.jpg", "Обложка")</f>
        <v>Обложка</v>
      </c>
      <c r="V1082" s="24" t="str">
        <f>HYPERLINK("https://znanium.ru/catalog/product/2137603", "Ознакомиться")</f>
        <v>Ознакомиться</v>
      </c>
      <c r="W1082" s="8" t="s">
        <v>289</v>
      </c>
      <c r="X1082" s="6"/>
      <c r="Y1082" s="6"/>
      <c r="Z1082" s="6"/>
      <c r="AA1082" s="6" t="s">
        <v>159</v>
      </c>
      <c r="AB1082" s="8"/>
    </row>
    <row r="1083" spans="1:28" s="4" customFormat="1" ht="51.95" customHeight="1">
      <c r="A1083" s="5">
        <v>0</v>
      </c>
      <c r="B1083" s="6" t="s">
        <v>6465</v>
      </c>
      <c r="C1083" s="7">
        <v>1068</v>
      </c>
      <c r="D1083" s="8" t="s">
        <v>6466</v>
      </c>
      <c r="E1083" s="8" t="s">
        <v>6467</v>
      </c>
      <c r="F1083" s="8" t="s">
        <v>6468</v>
      </c>
      <c r="G1083" s="6" t="s">
        <v>38</v>
      </c>
      <c r="H1083" s="6" t="s">
        <v>39</v>
      </c>
      <c r="I1083" s="8" t="s">
        <v>40</v>
      </c>
      <c r="J1083" s="9">
        <v>1</v>
      </c>
      <c r="K1083" s="9">
        <v>243</v>
      </c>
      <c r="L1083" s="9">
        <v>2021</v>
      </c>
      <c r="M1083" s="8" t="s">
        <v>6469</v>
      </c>
      <c r="N1083" s="8" t="s">
        <v>42</v>
      </c>
      <c r="O1083" s="8" t="s">
        <v>189</v>
      </c>
      <c r="P1083" s="6" t="s">
        <v>44</v>
      </c>
      <c r="Q1083" s="8" t="s">
        <v>45</v>
      </c>
      <c r="R1083" s="10" t="s">
        <v>6470</v>
      </c>
      <c r="S1083" s="11"/>
      <c r="T1083" s="6"/>
      <c r="U1083" s="24" t="str">
        <f>HYPERLINK("https://media.infra-m.ru/1090/1090340/cover/1090340.jpg", "Обложка")</f>
        <v>Обложка</v>
      </c>
      <c r="V1083" s="24" t="str">
        <f>HYPERLINK("https://znanium.ru/catalog/product/1090340", "Ознакомиться")</f>
        <v>Ознакомиться</v>
      </c>
      <c r="W1083" s="8" t="s">
        <v>6013</v>
      </c>
      <c r="X1083" s="6"/>
      <c r="Y1083" s="6"/>
      <c r="Z1083" s="6"/>
      <c r="AA1083" s="6" t="s">
        <v>199</v>
      </c>
      <c r="AB1083" s="8"/>
    </row>
    <row r="1084" spans="1:28" s="4" customFormat="1" ht="44.1" customHeight="1">
      <c r="A1084" s="5">
        <v>0</v>
      </c>
      <c r="B1084" s="6" t="s">
        <v>6471</v>
      </c>
      <c r="C1084" s="7">
        <v>1272</v>
      </c>
      <c r="D1084" s="8" t="s">
        <v>6472</v>
      </c>
      <c r="E1084" s="8" t="s">
        <v>6473</v>
      </c>
      <c r="F1084" s="8" t="s">
        <v>1511</v>
      </c>
      <c r="G1084" s="6" t="s">
        <v>38</v>
      </c>
      <c r="H1084" s="6" t="s">
        <v>39</v>
      </c>
      <c r="I1084" s="8" t="s">
        <v>40</v>
      </c>
      <c r="J1084" s="9">
        <v>1</v>
      </c>
      <c r="K1084" s="9">
        <v>197</v>
      </c>
      <c r="L1084" s="9">
        <v>2026</v>
      </c>
      <c r="M1084" s="8" t="s">
        <v>6474</v>
      </c>
      <c r="N1084" s="8" t="s">
        <v>220</v>
      </c>
      <c r="O1084" s="8" t="s">
        <v>252</v>
      </c>
      <c r="P1084" s="6" t="s">
        <v>44</v>
      </c>
      <c r="Q1084" s="8" t="s">
        <v>45</v>
      </c>
      <c r="R1084" s="10" t="s">
        <v>6475</v>
      </c>
      <c r="S1084" s="11"/>
      <c r="T1084" s="6"/>
      <c r="U1084" s="24" t="str">
        <f>HYPERLINK("https://media.infra-m.ru/2206/2206484/cover/2206484.jpg", "Обложка")</f>
        <v>Обложка</v>
      </c>
      <c r="V1084" s="24" t="str">
        <f>HYPERLINK("https://znanium.ru/catalog/product/2206484", "Ознакомиться")</f>
        <v>Ознакомиться</v>
      </c>
      <c r="W1084" s="8" t="s">
        <v>1514</v>
      </c>
      <c r="X1084" s="6" t="s">
        <v>158</v>
      </c>
      <c r="Y1084" s="6"/>
      <c r="Z1084" s="6"/>
      <c r="AA1084" s="6" t="s">
        <v>833</v>
      </c>
      <c r="AB1084" s="8"/>
    </row>
    <row r="1085" spans="1:28" s="4" customFormat="1" ht="44.1" customHeight="1">
      <c r="A1085" s="5">
        <v>0</v>
      </c>
      <c r="B1085" s="6" t="s">
        <v>6476</v>
      </c>
      <c r="C1085" s="13">
        <v>684</v>
      </c>
      <c r="D1085" s="8" t="s">
        <v>6477</v>
      </c>
      <c r="E1085" s="8" t="s">
        <v>6478</v>
      </c>
      <c r="F1085" s="8" t="s">
        <v>6479</v>
      </c>
      <c r="G1085" s="6" t="s">
        <v>38</v>
      </c>
      <c r="H1085" s="6" t="s">
        <v>39</v>
      </c>
      <c r="I1085" s="8" t="s">
        <v>40</v>
      </c>
      <c r="J1085" s="9">
        <v>1</v>
      </c>
      <c r="K1085" s="9">
        <v>126</v>
      </c>
      <c r="L1085" s="9">
        <v>2023</v>
      </c>
      <c r="M1085" s="8" t="s">
        <v>6480</v>
      </c>
      <c r="N1085" s="8" t="s">
        <v>42</v>
      </c>
      <c r="O1085" s="8" t="s">
        <v>246</v>
      </c>
      <c r="P1085" s="6" t="s">
        <v>44</v>
      </c>
      <c r="Q1085" s="8" t="s">
        <v>45</v>
      </c>
      <c r="R1085" s="10" t="s">
        <v>6481</v>
      </c>
      <c r="S1085" s="11"/>
      <c r="T1085" s="6"/>
      <c r="U1085" s="24" t="str">
        <f>HYPERLINK("https://media.infra-m.ru/1896/1896463/cover/1896463.jpg", "Обложка")</f>
        <v>Обложка</v>
      </c>
      <c r="V1085" s="24" t="str">
        <f>HYPERLINK("https://znanium.ru/catalog/product/1896463", "Ознакомиться")</f>
        <v>Ознакомиться</v>
      </c>
      <c r="W1085" s="8" t="s">
        <v>3955</v>
      </c>
      <c r="X1085" s="6"/>
      <c r="Y1085" s="6"/>
      <c r="Z1085" s="6"/>
      <c r="AA1085" s="6" t="s">
        <v>76</v>
      </c>
      <c r="AB1085" s="8"/>
    </row>
    <row r="1086" spans="1:28" s="4" customFormat="1" ht="51.95" customHeight="1">
      <c r="A1086" s="5">
        <v>0</v>
      </c>
      <c r="B1086" s="6" t="s">
        <v>6482</v>
      </c>
      <c r="C1086" s="7">
        <v>2376</v>
      </c>
      <c r="D1086" s="8" t="s">
        <v>6483</v>
      </c>
      <c r="E1086" s="8" t="s">
        <v>6484</v>
      </c>
      <c r="F1086" s="8" t="s">
        <v>6485</v>
      </c>
      <c r="G1086" s="6" t="s">
        <v>132</v>
      </c>
      <c r="H1086" s="6" t="s">
        <v>39</v>
      </c>
      <c r="I1086" s="8" t="s">
        <v>40</v>
      </c>
      <c r="J1086" s="9">
        <v>1</v>
      </c>
      <c r="K1086" s="9">
        <v>430</v>
      </c>
      <c r="L1086" s="9">
        <v>2024</v>
      </c>
      <c r="M1086" s="8" t="s">
        <v>6486</v>
      </c>
      <c r="N1086" s="8" t="s">
        <v>42</v>
      </c>
      <c r="O1086" s="8" t="s">
        <v>246</v>
      </c>
      <c r="P1086" s="6" t="s">
        <v>44</v>
      </c>
      <c r="Q1086" s="8" t="s">
        <v>45</v>
      </c>
      <c r="R1086" s="10" t="s">
        <v>6487</v>
      </c>
      <c r="S1086" s="11"/>
      <c r="T1086" s="6"/>
      <c r="U1086" s="24" t="str">
        <f>HYPERLINK("https://media.infra-m.ru/2119/2119929/cover/2119929.jpg", "Обложка")</f>
        <v>Обложка</v>
      </c>
      <c r="V1086" s="24" t="str">
        <f>HYPERLINK("https://znanium.ru/catalog/product/2119929", "Ознакомиться")</f>
        <v>Ознакомиться</v>
      </c>
      <c r="W1086" s="8" t="s">
        <v>516</v>
      </c>
      <c r="X1086" s="6"/>
      <c r="Y1086" s="6"/>
      <c r="Z1086" s="6"/>
      <c r="AA1086" s="6" t="s">
        <v>241</v>
      </c>
      <c r="AB1086" s="8"/>
    </row>
    <row r="1087" spans="1:28" s="4" customFormat="1" ht="44.1" customHeight="1">
      <c r="A1087" s="5">
        <v>0</v>
      </c>
      <c r="B1087" s="6" t="s">
        <v>6488</v>
      </c>
      <c r="C1087" s="7">
        <v>1428</v>
      </c>
      <c r="D1087" s="8" t="s">
        <v>6489</v>
      </c>
      <c r="E1087" s="8" t="s">
        <v>6490</v>
      </c>
      <c r="F1087" s="8" t="s">
        <v>6491</v>
      </c>
      <c r="G1087" s="6" t="s">
        <v>38</v>
      </c>
      <c r="H1087" s="6" t="s">
        <v>39</v>
      </c>
      <c r="I1087" s="8" t="s">
        <v>40</v>
      </c>
      <c r="J1087" s="9">
        <v>1</v>
      </c>
      <c r="K1087" s="9">
        <v>202</v>
      </c>
      <c r="L1087" s="9">
        <v>2024</v>
      </c>
      <c r="M1087" s="8" t="s">
        <v>6492</v>
      </c>
      <c r="N1087" s="8" t="s">
        <v>284</v>
      </c>
      <c r="O1087" s="8" t="s">
        <v>285</v>
      </c>
      <c r="P1087" s="6" t="s">
        <v>44</v>
      </c>
      <c r="Q1087" s="8" t="s">
        <v>45</v>
      </c>
      <c r="R1087" s="10" t="s">
        <v>6493</v>
      </c>
      <c r="S1087" s="11"/>
      <c r="T1087" s="6"/>
      <c r="U1087" s="24" t="str">
        <f>HYPERLINK("https://media.infra-m.ru/2083/2083543/cover/2083543.jpg", "Обложка")</f>
        <v>Обложка</v>
      </c>
      <c r="V1087" s="24" t="str">
        <f>HYPERLINK("https://znanium.ru/catalog/product/2083543", "Ознакомиться")</f>
        <v>Ознакомиться</v>
      </c>
      <c r="W1087" s="8" t="s">
        <v>289</v>
      </c>
      <c r="X1087" s="6"/>
      <c r="Y1087" s="6"/>
      <c r="Z1087" s="6"/>
      <c r="AA1087" s="6" t="s">
        <v>58</v>
      </c>
      <c r="AB1087" s="8"/>
    </row>
    <row r="1088" spans="1:28" s="4" customFormat="1" ht="51.95" customHeight="1">
      <c r="A1088" s="5">
        <v>0</v>
      </c>
      <c r="B1088" s="6" t="s">
        <v>6494</v>
      </c>
      <c r="C1088" s="7">
        <v>1864.8</v>
      </c>
      <c r="D1088" s="8" t="s">
        <v>6495</v>
      </c>
      <c r="E1088" s="8" t="s">
        <v>6496</v>
      </c>
      <c r="F1088" s="8" t="s">
        <v>6497</v>
      </c>
      <c r="G1088" s="6" t="s">
        <v>132</v>
      </c>
      <c r="H1088" s="6" t="s">
        <v>39</v>
      </c>
      <c r="I1088" s="8" t="s">
        <v>40</v>
      </c>
      <c r="J1088" s="9">
        <v>1</v>
      </c>
      <c r="K1088" s="9">
        <v>299</v>
      </c>
      <c r="L1088" s="9">
        <v>2025</v>
      </c>
      <c r="M1088" s="8" t="s">
        <v>6498</v>
      </c>
      <c r="N1088" s="8" t="s">
        <v>42</v>
      </c>
      <c r="O1088" s="8" t="s">
        <v>246</v>
      </c>
      <c r="P1088" s="6" t="s">
        <v>44</v>
      </c>
      <c r="Q1088" s="8" t="s">
        <v>45</v>
      </c>
      <c r="R1088" s="10" t="s">
        <v>6499</v>
      </c>
      <c r="S1088" s="11"/>
      <c r="T1088" s="6"/>
      <c r="U1088" s="24" t="str">
        <f>HYPERLINK("https://media.infra-m.ru/2196/2196086/cover/2196086.jpg", "Обложка")</f>
        <v>Обложка</v>
      </c>
      <c r="V1088" s="24" t="str">
        <f>HYPERLINK("https://znanium.ru/catalog/product/1429037", "Ознакомиться")</f>
        <v>Ознакомиться</v>
      </c>
      <c r="W1088" s="8" t="s">
        <v>6500</v>
      </c>
      <c r="X1088" s="6"/>
      <c r="Y1088" s="6"/>
      <c r="Z1088" s="6"/>
      <c r="AA1088" s="6" t="s">
        <v>377</v>
      </c>
      <c r="AB1088" s="8"/>
    </row>
    <row r="1089" spans="1:28" s="4" customFormat="1" ht="42" customHeight="1">
      <c r="A1089" s="5">
        <v>0</v>
      </c>
      <c r="B1089" s="6" t="s">
        <v>6501</v>
      </c>
      <c r="C1089" s="7">
        <v>1068</v>
      </c>
      <c r="D1089" s="8" t="s">
        <v>6502</v>
      </c>
      <c r="E1089" s="8" t="s">
        <v>6503</v>
      </c>
      <c r="F1089" s="8" t="s">
        <v>6504</v>
      </c>
      <c r="G1089" s="6" t="s">
        <v>38</v>
      </c>
      <c r="H1089" s="6" t="s">
        <v>39</v>
      </c>
      <c r="I1089" s="8" t="s">
        <v>40</v>
      </c>
      <c r="J1089" s="9">
        <v>1</v>
      </c>
      <c r="K1089" s="9">
        <v>185</v>
      </c>
      <c r="L1089" s="9">
        <v>2023</v>
      </c>
      <c r="M1089" s="8" t="s">
        <v>6505</v>
      </c>
      <c r="N1089" s="8" t="s">
        <v>220</v>
      </c>
      <c r="O1089" s="8" t="s">
        <v>296</v>
      </c>
      <c r="P1089" s="6" t="s">
        <v>44</v>
      </c>
      <c r="Q1089" s="8" t="s">
        <v>45</v>
      </c>
      <c r="R1089" s="10" t="s">
        <v>6506</v>
      </c>
      <c r="S1089" s="11"/>
      <c r="T1089" s="6"/>
      <c r="U1089" s="24" t="str">
        <f>HYPERLINK("https://media.infra-m.ru/2032/2032491/cover/2032491.jpg", "Обложка")</f>
        <v>Обложка</v>
      </c>
      <c r="V1089" s="24" t="str">
        <f>HYPERLINK("https://znanium.ru/catalog/product/2032491", "Ознакомиться")</f>
        <v>Ознакомиться</v>
      </c>
      <c r="W1089" s="8" t="s">
        <v>6507</v>
      </c>
      <c r="X1089" s="6"/>
      <c r="Y1089" s="6"/>
      <c r="Z1089" s="6"/>
      <c r="AA1089" s="6" t="s">
        <v>369</v>
      </c>
      <c r="AB1089" s="8"/>
    </row>
    <row r="1090" spans="1:28" s="4" customFormat="1" ht="44.1" customHeight="1">
      <c r="A1090" s="5">
        <v>0</v>
      </c>
      <c r="B1090" s="6" t="s">
        <v>6508</v>
      </c>
      <c r="C1090" s="7">
        <v>1080</v>
      </c>
      <c r="D1090" s="8" t="s">
        <v>6509</v>
      </c>
      <c r="E1090" s="8" t="s">
        <v>6510</v>
      </c>
      <c r="F1090" s="8" t="s">
        <v>6511</v>
      </c>
      <c r="G1090" s="6" t="s">
        <v>38</v>
      </c>
      <c r="H1090" s="6" t="s">
        <v>39</v>
      </c>
      <c r="I1090" s="8" t="s">
        <v>40</v>
      </c>
      <c r="J1090" s="9">
        <v>1</v>
      </c>
      <c r="K1090" s="9">
        <v>196</v>
      </c>
      <c r="L1090" s="9">
        <v>2023</v>
      </c>
      <c r="M1090" s="8" t="s">
        <v>6512</v>
      </c>
      <c r="N1090" s="8" t="s">
        <v>42</v>
      </c>
      <c r="O1090" s="8" t="s">
        <v>189</v>
      </c>
      <c r="P1090" s="6" t="s">
        <v>44</v>
      </c>
      <c r="Q1090" s="8" t="s">
        <v>45</v>
      </c>
      <c r="R1090" s="10" t="s">
        <v>6513</v>
      </c>
      <c r="S1090" s="11"/>
      <c r="T1090" s="6"/>
      <c r="U1090" s="24" t="str">
        <f>HYPERLINK("https://media.infra-m.ru/1870/1870591/cover/1870591.jpg", "Обложка")</f>
        <v>Обложка</v>
      </c>
      <c r="V1090" s="24" t="str">
        <f>HYPERLINK("https://znanium.ru/catalog/product/1870591", "Ознакомиться")</f>
        <v>Ознакомиться</v>
      </c>
      <c r="W1090" s="8" t="s">
        <v>167</v>
      </c>
      <c r="X1090" s="6"/>
      <c r="Y1090" s="6"/>
      <c r="Z1090" s="6"/>
      <c r="AA1090" s="6" t="s">
        <v>119</v>
      </c>
      <c r="AB1090" s="8"/>
    </row>
    <row r="1091" spans="1:28" s="4" customFormat="1" ht="51.95" customHeight="1">
      <c r="A1091" s="5">
        <v>0</v>
      </c>
      <c r="B1091" s="6" t="s">
        <v>6514</v>
      </c>
      <c r="C1091" s="7">
        <v>2088</v>
      </c>
      <c r="D1091" s="8" t="s">
        <v>6515</v>
      </c>
      <c r="E1091" s="8" t="s">
        <v>6516</v>
      </c>
      <c r="F1091" s="8" t="s">
        <v>6517</v>
      </c>
      <c r="G1091" s="6" t="s">
        <v>81</v>
      </c>
      <c r="H1091" s="6" t="s">
        <v>39</v>
      </c>
      <c r="I1091" s="8" t="s">
        <v>336</v>
      </c>
      <c r="J1091" s="9">
        <v>1</v>
      </c>
      <c r="K1091" s="9">
        <v>496</v>
      </c>
      <c r="L1091" s="9">
        <v>2020</v>
      </c>
      <c r="M1091" s="8" t="s">
        <v>6518</v>
      </c>
      <c r="N1091" s="8" t="s">
        <v>42</v>
      </c>
      <c r="O1091" s="8" t="s">
        <v>101</v>
      </c>
      <c r="P1091" s="6" t="s">
        <v>44</v>
      </c>
      <c r="Q1091" s="8" t="s">
        <v>45</v>
      </c>
      <c r="R1091" s="10" t="s">
        <v>6519</v>
      </c>
      <c r="S1091" s="11"/>
      <c r="T1091" s="6"/>
      <c r="U1091" s="24" t="str">
        <f>HYPERLINK("https://media.infra-m.ru/1077/1077360/cover/1077360.jpg", "Обложка")</f>
        <v>Обложка</v>
      </c>
      <c r="V1091" s="24" t="str">
        <f>HYPERLINK("https://znanium.ru/catalog/product/1077360", "Ознакомиться")</f>
        <v>Ознакомиться</v>
      </c>
      <c r="W1091" s="8" t="s">
        <v>2673</v>
      </c>
      <c r="X1091" s="6"/>
      <c r="Y1091" s="6"/>
      <c r="Z1091" s="6"/>
      <c r="AA1091" s="6" t="s">
        <v>68</v>
      </c>
      <c r="AB1091" s="8"/>
    </row>
    <row r="1092" spans="1:28" s="4" customFormat="1" ht="42" customHeight="1">
      <c r="A1092" s="5">
        <v>0</v>
      </c>
      <c r="B1092" s="6" t="s">
        <v>6520</v>
      </c>
      <c r="C1092" s="7">
        <v>3592.8</v>
      </c>
      <c r="D1092" s="8" t="s">
        <v>6521</v>
      </c>
      <c r="E1092" s="8" t="s">
        <v>6522</v>
      </c>
      <c r="F1092" s="8" t="s">
        <v>6523</v>
      </c>
      <c r="G1092" s="6" t="s">
        <v>132</v>
      </c>
      <c r="H1092" s="6" t="s">
        <v>39</v>
      </c>
      <c r="I1092" s="8" t="s">
        <v>40</v>
      </c>
      <c r="J1092" s="9">
        <v>1</v>
      </c>
      <c r="K1092" s="9">
        <v>593</v>
      </c>
      <c r="L1092" s="9">
        <v>2026</v>
      </c>
      <c r="M1092" s="8" t="s">
        <v>6524</v>
      </c>
      <c r="N1092" s="8" t="s">
        <v>42</v>
      </c>
      <c r="O1092" s="8" t="s">
        <v>65</v>
      </c>
      <c r="P1092" s="6" t="s">
        <v>44</v>
      </c>
      <c r="Q1092" s="8" t="s">
        <v>45</v>
      </c>
      <c r="R1092" s="10" t="s">
        <v>1741</v>
      </c>
      <c r="S1092" s="11"/>
      <c r="T1092" s="6"/>
      <c r="U1092" s="24" t="str">
        <f>HYPERLINK("https://media.infra-m.ru/2224/2224179/cover/2224179.jpg", "Обложка")</f>
        <v>Обложка</v>
      </c>
      <c r="V1092" s="24" t="str">
        <f>HYPERLINK("https://znanium.ru/catalog/product/2072433", "Ознакомиться")</f>
        <v>Ознакомиться</v>
      </c>
      <c r="W1092" s="8" t="s">
        <v>2234</v>
      </c>
      <c r="X1092" s="6"/>
      <c r="Y1092" s="6"/>
      <c r="Z1092" s="6"/>
      <c r="AA1092" s="6" t="s">
        <v>168</v>
      </c>
      <c r="AB1092" s="8"/>
    </row>
    <row r="1093" spans="1:28" s="4" customFormat="1" ht="51.95" customHeight="1">
      <c r="A1093" s="5">
        <v>0</v>
      </c>
      <c r="B1093" s="6" t="s">
        <v>6525</v>
      </c>
      <c r="C1093" s="7">
        <v>1372.8</v>
      </c>
      <c r="D1093" s="8" t="s">
        <v>6526</v>
      </c>
      <c r="E1093" s="8" t="s">
        <v>6527</v>
      </c>
      <c r="F1093" s="8" t="s">
        <v>6528</v>
      </c>
      <c r="G1093" s="6" t="s">
        <v>38</v>
      </c>
      <c r="H1093" s="6" t="s">
        <v>182</v>
      </c>
      <c r="I1093" s="8" t="s">
        <v>40</v>
      </c>
      <c r="J1093" s="9">
        <v>1</v>
      </c>
      <c r="K1093" s="9">
        <v>244</v>
      </c>
      <c r="L1093" s="9">
        <v>2022</v>
      </c>
      <c r="M1093" s="8" t="s">
        <v>6529</v>
      </c>
      <c r="N1093" s="8" t="s">
        <v>42</v>
      </c>
      <c r="O1093" s="8" t="s">
        <v>189</v>
      </c>
      <c r="P1093" s="6" t="s">
        <v>44</v>
      </c>
      <c r="Q1093" s="8" t="s">
        <v>45</v>
      </c>
      <c r="R1093" s="10" t="s">
        <v>6530</v>
      </c>
      <c r="S1093" s="11"/>
      <c r="T1093" s="6"/>
      <c r="U1093" s="24" t="str">
        <f>HYPERLINK("https://media.infra-m.ru/2149/2149183/cover/2149183.jpg", "Обложка")</f>
        <v>Обложка</v>
      </c>
      <c r="V1093" s="24" t="str">
        <f>HYPERLINK("https://znanium.ru/catalog/product/951265", "Ознакомиться")</f>
        <v>Ознакомиться</v>
      </c>
      <c r="W1093" s="8" t="s">
        <v>1929</v>
      </c>
      <c r="X1093" s="6"/>
      <c r="Y1093" s="6"/>
      <c r="Z1093" s="6"/>
      <c r="AA1093" s="6" t="s">
        <v>369</v>
      </c>
      <c r="AB1093" s="8"/>
    </row>
    <row r="1094" spans="1:28" s="4" customFormat="1" ht="42" customHeight="1">
      <c r="A1094" s="5">
        <v>0</v>
      </c>
      <c r="B1094" s="6" t="s">
        <v>6531</v>
      </c>
      <c r="C1094" s="7">
        <v>1056</v>
      </c>
      <c r="D1094" s="8" t="s">
        <v>6532</v>
      </c>
      <c r="E1094" s="8" t="s">
        <v>6533</v>
      </c>
      <c r="F1094" s="8" t="s">
        <v>6534</v>
      </c>
      <c r="G1094" s="6" t="s">
        <v>81</v>
      </c>
      <c r="H1094" s="6" t="s">
        <v>99</v>
      </c>
      <c r="I1094" s="8"/>
      <c r="J1094" s="9">
        <v>1</v>
      </c>
      <c r="K1094" s="9">
        <v>176</v>
      </c>
      <c r="L1094" s="9">
        <v>2025</v>
      </c>
      <c r="M1094" s="8" t="s">
        <v>6535</v>
      </c>
      <c r="N1094" s="8" t="s">
        <v>42</v>
      </c>
      <c r="O1094" s="8" t="s">
        <v>101</v>
      </c>
      <c r="P1094" s="6" t="s">
        <v>44</v>
      </c>
      <c r="Q1094" s="8" t="s">
        <v>45</v>
      </c>
      <c r="R1094" s="10" t="s">
        <v>2946</v>
      </c>
      <c r="S1094" s="11"/>
      <c r="T1094" s="6"/>
      <c r="U1094" s="24" t="str">
        <f>HYPERLINK("https://media.infra-m.ru/2188/2188277/cover/2188277.jpg", "Обложка")</f>
        <v>Обложка</v>
      </c>
      <c r="V1094" s="24" t="str">
        <f>HYPERLINK("https://znanium.ru/catalog/product/2188277", "Ознакомиться")</f>
        <v>Ознакомиться</v>
      </c>
      <c r="W1094" s="8" t="s">
        <v>418</v>
      </c>
      <c r="X1094" s="6"/>
      <c r="Y1094" s="6"/>
      <c r="Z1094" s="6"/>
      <c r="AA1094" s="6" t="s">
        <v>68</v>
      </c>
      <c r="AB1094" s="8"/>
    </row>
    <row r="1095" spans="1:28" s="4" customFormat="1" ht="51.95" customHeight="1">
      <c r="A1095" s="5">
        <v>0</v>
      </c>
      <c r="B1095" s="6" t="s">
        <v>6536</v>
      </c>
      <c r="C1095" s="13">
        <v>864</v>
      </c>
      <c r="D1095" s="8" t="s">
        <v>6537</v>
      </c>
      <c r="E1095" s="8" t="s">
        <v>6538</v>
      </c>
      <c r="F1095" s="8" t="s">
        <v>6539</v>
      </c>
      <c r="G1095" s="6" t="s">
        <v>38</v>
      </c>
      <c r="H1095" s="6" t="s">
        <v>39</v>
      </c>
      <c r="I1095" s="8" t="s">
        <v>173</v>
      </c>
      <c r="J1095" s="9">
        <v>1</v>
      </c>
      <c r="K1095" s="9">
        <v>140</v>
      </c>
      <c r="L1095" s="9">
        <v>2025</v>
      </c>
      <c r="M1095" s="8" t="s">
        <v>6540</v>
      </c>
      <c r="N1095" s="8" t="s">
        <v>220</v>
      </c>
      <c r="O1095" s="8" t="s">
        <v>1250</v>
      </c>
      <c r="P1095" s="6" t="s">
        <v>44</v>
      </c>
      <c r="Q1095" s="8" t="s">
        <v>45</v>
      </c>
      <c r="R1095" s="10" t="s">
        <v>6541</v>
      </c>
      <c r="S1095" s="11"/>
      <c r="T1095" s="6"/>
      <c r="U1095" s="24" t="str">
        <f>HYPERLINK("https://media.infra-m.ru/2178/2178245/cover/2178245.jpg", "Обложка")</f>
        <v>Обложка</v>
      </c>
      <c r="V1095" s="24" t="str">
        <f>HYPERLINK("https://znanium.ru/catalog/product/2178245", "Ознакомиться")</f>
        <v>Ознакомиться</v>
      </c>
      <c r="W1095" s="8" t="s">
        <v>176</v>
      </c>
      <c r="X1095" s="6"/>
      <c r="Y1095" s="6"/>
      <c r="Z1095" s="6"/>
      <c r="AA1095" s="6" t="s">
        <v>168</v>
      </c>
      <c r="AB1095" s="8" t="s">
        <v>1992</v>
      </c>
    </row>
    <row r="1096" spans="1:28" s="4" customFormat="1" ht="51.95" customHeight="1">
      <c r="A1096" s="5">
        <v>0</v>
      </c>
      <c r="B1096" s="6" t="s">
        <v>6542</v>
      </c>
      <c r="C1096" s="7">
        <v>1320</v>
      </c>
      <c r="D1096" s="8" t="s">
        <v>6543</v>
      </c>
      <c r="E1096" s="8" t="s">
        <v>6544</v>
      </c>
      <c r="F1096" s="8" t="s">
        <v>6545</v>
      </c>
      <c r="G1096" s="6" t="s">
        <v>38</v>
      </c>
      <c r="H1096" s="6" t="s">
        <v>39</v>
      </c>
      <c r="I1096" s="8" t="s">
        <v>40</v>
      </c>
      <c r="J1096" s="9">
        <v>1</v>
      </c>
      <c r="K1096" s="9">
        <v>210</v>
      </c>
      <c r="L1096" s="9">
        <v>2026</v>
      </c>
      <c r="M1096" s="8" t="s">
        <v>6546</v>
      </c>
      <c r="N1096" s="8" t="s">
        <v>42</v>
      </c>
      <c r="O1096" s="8" t="s">
        <v>65</v>
      </c>
      <c r="P1096" s="6" t="s">
        <v>44</v>
      </c>
      <c r="Q1096" s="8" t="s">
        <v>45</v>
      </c>
      <c r="R1096" s="10" t="s">
        <v>6547</v>
      </c>
      <c r="S1096" s="11"/>
      <c r="T1096" s="6"/>
      <c r="U1096" s="24" t="str">
        <f>HYPERLINK("https://media.infra-m.ru/2216/2216042/cover/2216042.jpg", "Обложка")</f>
        <v>Обложка</v>
      </c>
      <c r="V1096" s="24" t="str">
        <f>HYPERLINK("https://znanium.ru/catalog/product/2216042", "Ознакомиться")</f>
        <v>Ознакомиться</v>
      </c>
      <c r="W1096" s="8" t="s">
        <v>167</v>
      </c>
      <c r="X1096" s="6"/>
      <c r="Y1096" s="6"/>
      <c r="Z1096" s="6"/>
      <c r="AA1096" s="6" t="s">
        <v>168</v>
      </c>
      <c r="AB1096" s="8"/>
    </row>
    <row r="1097" spans="1:28" s="4" customFormat="1" ht="51.95" customHeight="1">
      <c r="A1097" s="5">
        <v>0</v>
      </c>
      <c r="B1097" s="6" t="s">
        <v>6548</v>
      </c>
      <c r="C1097" s="7">
        <v>1528.8</v>
      </c>
      <c r="D1097" s="8" t="s">
        <v>6549</v>
      </c>
      <c r="E1097" s="8" t="s">
        <v>6550</v>
      </c>
      <c r="F1097" s="8" t="s">
        <v>6551</v>
      </c>
      <c r="G1097" s="6" t="s">
        <v>38</v>
      </c>
      <c r="H1097" s="6" t="s">
        <v>39</v>
      </c>
      <c r="I1097" s="8" t="s">
        <v>40</v>
      </c>
      <c r="J1097" s="9">
        <v>1</v>
      </c>
      <c r="K1097" s="9">
        <v>232</v>
      </c>
      <c r="L1097" s="9">
        <v>2026</v>
      </c>
      <c r="M1097" s="8" t="s">
        <v>6552</v>
      </c>
      <c r="N1097" s="8" t="s">
        <v>42</v>
      </c>
      <c r="O1097" s="8" t="s">
        <v>1002</v>
      </c>
      <c r="P1097" s="6" t="s">
        <v>44</v>
      </c>
      <c r="Q1097" s="8" t="s">
        <v>45</v>
      </c>
      <c r="R1097" s="10" t="s">
        <v>6553</v>
      </c>
      <c r="S1097" s="11"/>
      <c r="T1097" s="6"/>
      <c r="U1097" s="24" t="str">
        <f>HYPERLINK("https://media.infra-m.ru/2226/2226521/cover/2226521.jpg", "Обложка")</f>
        <v>Обложка</v>
      </c>
      <c r="V1097" s="24" t="str">
        <f>HYPERLINK("https://znanium.ru/catalog/product/2005201", "Ознакомиться")</f>
        <v>Ознакомиться</v>
      </c>
      <c r="W1097" s="8" t="s">
        <v>2872</v>
      </c>
      <c r="X1097" s="6"/>
      <c r="Y1097" s="6"/>
      <c r="Z1097" s="6"/>
      <c r="AA1097" s="6" t="s">
        <v>127</v>
      </c>
      <c r="AB1097" s="8"/>
    </row>
    <row r="1098" spans="1:28" s="4" customFormat="1" ht="51.95" customHeight="1">
      <c r="A1098" s="5">
        <v>0</v>
      </c>
      <c r="B1098" s="6" t="s">
        <v>6554</v>
      </c>
      <c r="C1098" s="7">
        <v>1312.8</v>
      </c>
      <c r="D1098" s="8" t="s">
        <v>6555</v>
      </c>
      <c r="E1098" s="8" t="s">
        <v>6556</v>
      </c>
      <c r="F1098" s="8" t="s">
        <v>6557</v>
      </c>
      <c r="G1098" s="6" t="s">
        <v>132</v>
      </c>
      <c r="H1098" s="6" t="s">
        <v>1019</v>
      </c>
      <c r="I1098" s="8"/>
      <c r="J1098" s="9">
        <v>1</v>
      </c>
      <c r="K1098" s="9">
        <v>216</v>
      </c>
      <c r="L1098" s="9">
        <v>2025</v>
      </c>
      <c r="M1098" s="8" t="s">
        <v>6558</v>
      </c>
      <c r="N1098" s="8" t="s">
        <v>42</v>
      </c>
      <c r="O1098" s="8" t="s">
        <v>43</v>
      </c>
      <c r="P1098" s="6" t="s">
        <v>1195</v>
      </c>
      <c r="Q1098" s="8" t="s">
        <v>45</v>
      </c>
      <c r="R1098" s="10" t="s">
        <v>6559</v>
      </c>
      <c r="S1098" s="11"/>
      <c r="T1098" s="6"/>
      <c r="U1098" s="24" t="str">
        <f>HYPERLINK("https://media.infra-m.ru/2163/2163374/cover/2163374.jpg", "Обложка")</f>
        <v>Обложка</v>
      </c>
      <c r="V1098" s="24" t="str">
        <f>HYPERLINK("https://znanium.ru/catalog/product/1851659", "Ознакомиться")</f>
        <v>Ознакомиться</v>
      </c>
      <c r="W1098" s="8" t="s">
        <v>167</v>
      </c>
      <c r="X1098" s="6"/>
      <c r="Y1098" s="6"/>
      <c r="Z1098" s="6"/>
      <c r="AA1098" s="6" t="s">
        <v>290</v>
      </c>
      <c r="AB1098" s="8"/>
    </row>
    <row r="1099" spans="1:28" s="4" customFormat="1" ht="42" customHeight="1">
      <c r="A1099" s="5">
        <v>0</v>
      </c>
      <c r="B1099" s="6" t="s">
        <v>6560</v>
      </c>
      <c r="C1099" s="7">
        <v>1584</v>
      </c>
      <c r="D1099" s="8" t="s">
        <v>6561</v>
      </c>
      <c r="E1099" s="8" t="s">
        <v>6562</v>
      </c>
      <c r="F1099" s="8" t="s">
        <v>6563</v>
      </c>
      <c r="G1099" s="6" t="s">
        <v>38</v>
      </c>
      <c r="H1099" s="6" t="s">
        <v>39</v>
      </c>
      <c r="I1099" s="8" t="s">
        <v>40</v>
      </c>
      <c r="J1099" s="9">
        <v>1</v>
      </c>
      <c r="K1099" s="9">
        <v>286</v>
      </c>
      <c r="L1099" s="9">
        <v>2024</v>
      </c>
      <c r="M1099" s="8" t="s">
        <v>6564</v>
      </c>
      <c r="N1099" s="8" t="s">
        <v>284</v>
      </c>
      <c r="O1099" s="8" t="s">
        <v>2265</v>
      </c>
      <c r="P1099" s="6" t="s">
        <v>44</v>
      </c>
      <c r="Q1099" s="8" t="s">
        <v>45</v>
      </c>
      <c r="R1099" s="10" t="s">
        <v>6565</v>
      </c>
      <c r="S1099" s="11"/>
      <c r="T1099" s="6"/>
      <c r="U1099" s="24" t="str">
        <f>HYPERLINK("https://media.infra-m.ru/2111/2111800/cover/2111800.jpg", "Обложка")</f>
        <v>Обложка</v>
      </c>
      <c r="V1099" s="24" t="str">
        <f>HYPERLINK("https://znanium.ru/catalog/product/2111800", "Ознакомиться")</f>
        <v>Ознакомиться</v>
      </c>
      <c r="W1099" s="8" t="s">
        <v>2991</v>
      </c>
      <c r="X1099" s="6"/>
      <c r="Y1099" s="6"/>
      <c r="Z1099" s="6"/>
      <c r="AA1099" s="6" t="s">
        <v>76</v>
      </c>
      <c r="AB1099" s="8"/>
    </row>
    <row r="1100" spans="1:28" s="4" customFormat="1" ht="51.95" customHeight="1">
      <c r="A1100" s="5">
        <v>0</v>
      </c>
      <c r="B1100" s="6" t="s">
        <v>6566</v>
      </c>
      <c r="C1100" s="7">
        <v>1385.9</v>
      </c>
      <c r="D1100" s="8" t="s">
        <v>6567</v>
      </c>
      <c r="E1100" s="8" t="s">
        <v>6568</v>
      </c>
      <c r="F1100" s="8" t="s">
        <v>5146</v>
      </c>
      <c r="G1100" s="6" t="s">
        <v>38</v>
      </c>
      <c r="H1100" s="6" t="s">
        <v>39</v>
      </c>
      <c r="I1100" s="8" t="s">
        <v>40</v>
      </c>
      <c r="J1100" s="9">
        <v>1</v>
      </c>
      <c r="K1100" s="9">
        <v>256</v>
      </c>
      <c r="L1100" s="9">
        <v>2023</v>
      </c>
      <c r="M1100" s="8" t="s">
        <v>6569</v>
      </c>
      <c r="N1100" s="8" t="s">
        <v>220</v>
      </c>
      <c r="O1100" s="8" t="s">
        <v>296</v>
      </c>
      <c r="P1100" s="6" t="s">
        <v>44</v>
      </c>
      <c r="Q1100" s="8" t="s">
        <v>45</v>
      </c>
      <c r="R1100" s="10" t="s">
        <v>3865</v>
      </c>
      <c r="S1100" s="11"/>
      <c r="T1100" s="6"/>
      <c r="U1100" s="24" t="str">
        <f>HYPERLINK("https://media.infra-m.ru/2023/2023210/cover/2023210.jpg", "Обложка")</f>
        <v>Обложка</v>
      </c>
      <c r="V1100" s="24" t="str">
        <f>HYPERLINK("https://znanium.ru/catalog/product/989807", "Ознакомиться")</f>
        <v>Ознакомиться</v>
      </c>
      <c r="W1100" s="8" t="s">
        <v>5149</v>
      </c>
      <c r="X1100" s="6"/>
      <c r="Y1100" s="6"/>
      <c r="Z1100" s="6"/>
      <c r="AA1100" s="6" t="s">
        <v>76</v>
      </c>
      <c r="AB1100" s="8"/>
    </row>
    <row r="1101" spans="1:28" s="4" customFormat="1" ht="51.95" customHeight="1">
      <c r="A1101" s="5">
        <v>0</v>
      </c>
      <c r="B1101" s="6" t="s">
        <v>6570</v>
      </c>
      <c r="C1101" s="7">
        <v>1140</v>
      </c>
      <c r="D1101" s="8" t="s">
        <v>6571</v>
      </c>
      <c r="E1101" s="8" t="s">
        <v>6572</v>
      </c>
      <c r="F1101" s="8" t="s">
        <v>6573</v>
      </c>
      <c r="G1101" s="6" t="s">
        <v>38</v>
      </c>
      <c r="H1101" s="6" t="s">
        <v>39</v>
      </c>
      <c r="I1101" s="8" t="s">
        <v>40</v>
      </c>
      <c r="J1101" s="9">
        <v>1</v>
      </c>
      <c r="K1101" s="9">
        <v>205</v>
      </c>
      <c r="L1101" s="9">
        <v>2023</v>
      </c>
      <c r="M1101" s="8" t="s">
        <v>6574</v>
      </c>
      <c r="N1101" s="8" t="s">
        <v>229</v>
      </c>
      <c r="O1101" s="8" t="s">
        <v>230</v>
      </c>
      <c r="P1101" s="6" t="s">
        <v>44</v>
      </c>
      <c r="Q1101" s="8" t="s">
        <v>45</v>
      </c>
      <c r="R1101" s="10" t="s">
        <v>4188</v>
      </c>
      <c r="S1101" s="11"/>
      <c r="T1101" s="6" t="s">
        <v>1080</v>
      </c>
      <c r="U1101" s="24" t="str">
        <f>HYPERLINK("https://media.infra-m.ru/2018/2018243/cover/2018243.jpg", "Обложка")</f>
        <v>Обложка</v>
      </c>
      <c r="V1101" s="24" t="str">
        <f>HYPERLINK("https://znanium.ru/catalog/product/2018243", "Ознакомиться")</f>
        <v>Ознакомиться</v>
      </c>
      <c r="W1101" s="8" t="s">
        <v>2872</v>
      </c>
      <c r="X1101" s="6"/>
      <c r="Y1101" s="6"/>
      <c r="Z1101" s="6"/>
      <c r="AA1101" s="6" t="s">
        <v>127</v>
      </c>
      <c r="AB1101" s="8"/>
    </row>
    <row r="1102" spans="1:28" s="4" customFormat="1" ht="51.95" customHeight="1">
      <c r="A1102" s="5">
        <v>0</v>
      </c>
      <c r="B1102" s="6" t="s">
        <v>6575</v>
      </c>
      <c r="C1102" s="7">
        <v>1164</v>
      </c>
      <c r="D1102" s="8" t="s">
        <v>6576</v>
      </c>
      <c r="E1102" s="8" t="s">
        <v>6577</v>
      </c>
      <c r="F1102" s="8" t="s">
        <v>6578</v>
      </c>
      <c r="G1102" s="6" t="s">
        <v>38</v>
      </c>
      <c r="H1102" s="6" t="s">
        <v>39</v>
      </c>
      <c r="I1102" s="8" t="s">
        <v>40</v>
      </c>
      <c r="J1102" s="9">
        <v>1</v>
      </c>
      <c r="K1102" s="9">
        <v>188</v>
      </c>
      <c r="L1102" s="9">
        <v>2025</v>
      </c>
      <c r="M1102" s="8" t="s">
        <v>6579</v>
      </c>
      <c r="N1102" s="8" t="s">
        <v>42</v>
      </c>
      <c r="O1102" s="8" t="s">
        <v>189</v>
      </c>
      <c r="P1102" s="6" t="s">
        <v>44</v>
      </c>
      <c r="Q1102" s="8" t="s">
        <v>45</v>
      </c>
      <c r="R1102" s="10" t="s">
        <v>6580</v>
      </c>
      <c r="S1102" s="11"/>
      <c r="T1102" s="6"/>
      <c r="U1102" s="24" t="str">
        <f>HYPERLINK("https://media.infra-m.ru/2132/2132121/cover/2132121.jpg", "Обложка")</f>
        <v>Обложка</v>
      </c>
      <c r="V1102" s="24" t="str">
        <f>HYPERLINK("https://znanium.ru/catalog/product/2132121", "Ознакомиться")</f>
        <v>Ознакомиться</v>
      </c>
      <c r="W1102" s="8" t="s">
        <v>391</v>
      </c>
      <c r="X1102" s="6"/>
      <c r="Y1102" s="6"/>
      <c r="Z1102" s="6"/>
      <c r="AA1102" s="6" t="s">
        <v>159</v>
      </c>
      <c r="AB1102" s="8"/>
    </row>
    <row r="1103" spans="1:28" s="4" customFormat="1" ht="44.1" customHeight="1">
      <c r="A1103" s="5">
        <v>0</v>
      </c>
      <c r="B1103" s="6" t="s">
        <v>6581</v>
      </c>
      <c r="C1103" s="7">
        <v>1768.8</v>
      </c>
      <c r="D1103" s="8" t="s">
        <v>6582</v>
      </c>
      <c r="E1103" s="8" t="s">
        <v>6583</v>
      </c>
      <c r="F1103" s="8" t="s">
        <v>6584</v>
      </c>
      <c r="G1103" s="6" t="s">
        <v>38</v>
      </c>
      <c r="H1103" s="6" t="s">
        <v>182</v>
      </c>
      <c r="I1103" s="8" t="s">
        <v>40</v>
      </c>
      <c r="J1103" s="9">
        <v>1</v>
      </c>
      <c r="K1103" s="9">
        <v>268</v>
      </c>
      <c r="L1103" s="9">
        <v>2026</v>
      </c>
      <c r="M1103" s="8" t="s">
        <v>6585</v>
      </c>
      <c r="N1103" s="8" t="s">
        <v>284</v>
      </c>
      <c r="O1103" s="8" t="s">
        <v>2265</v>
      </c>
      <c r="P1103" s="6" t="s">
        <v>44</v>
      </c>
      <c r="Q1103" s="8" t="s">
        <v>1152</v>
      </c>
      <c r="R1103" s="10" t="s">
        <v>6586</v>
      </c>
      <c r="S1103" s="11"/>
      <c r="T1103" s="6"/>
      <c r="U1103" s="24" t="str">
        <f>HYPERLINK("https://media.infra-m.ru/2222/2222259/cover/2222259.jpg", "Обложка")</f>
        <v>Обложка</v>
      </c>
      <c r="V1103" s="24" t="str">
        <f>HYPERLINK("https://znanium.ru/catalog/product/2011477", "Ознакомиться")</f>
        <v>Ознакомиться</v>
      </c>
      <c r="W1103" s="8" t="s">
        <v>2267</v>
      </c>
      <c r="X1103" s="6"/>
      <c r="Y1103" s="6"/>
      <c r="Z1103" s="6"/>
      <c r="AA1103" s="6" t="s">
        <v>377</v>
      </c>
      <c r="AB1103" s="8"/>
    </row>
    <row r="1104" spans="1:28" s="4" customFormat="1" ht="42" customHeight="1">
      <c r="A1104" s="5">
        <v>0</v>
      </c>
      <c r="B1104" s="6" t="s">
        <v>6587</v>
      </c>
      <c r="C1104" s="7">
        <v>3060</v>
      </c>
      <c r="D1104" s="8" t="s">
        <v>6588</v>
      </c>
      <c r="E1104" s="8" t="s">
        <v>6589</v>
      </c>
      <c r="F1104" s="8" t="s">
        <v>6590</v>
      </c>
      <c r="G1104" s="6" t="s">
        <v>132</v>
      </c>
      <c r="H1104" s="6" t="s">
        <v>39</v>
      </c>
      <c r="I1104" s="8" t="s">
        <v>40</v>
      </c>
      <c r="J1104" s="9">
        <v>1</v>
      </c>
      <c r="K1104" s="9">
        <v>547</v>
      </c>
      <c r="L1104" s="9">
        <v>2024</v>
      </c>
      <c r="M1104" s="8" t="s">
        <v>6591</v>
      </c>
      <c r="N1104" s="8" t="s">
        <v>220</v>
      </c>
      <c r="O1104" s="8" t="s">
        <v>296</v>
      </c>
      <c r="P1104" s="6" t="s">
        <v>44</v>
      </c>
      <c r="Q1104" s="8" t="s">
        <v>45</v>
      </c>
      <c r="R1104" s="10" t="s">
        <v>6592</v>
      </c>
      <c r="S1104" s="11"/>
      <c r="T1104" s="6"/>
      <c r="U1104" s="24" t="str">
        <f>HYPERLINK("https://media.infra-m.ru/2056/2056726/cover/2056726.jpg", "Обложка")</f>
        <v>Обложка</v>
      </c>
      <c r="V1104" s="24" t="str">
        <f>HYPERLINK("https://znanium.ru/catalog/product/2056726", "Ознакомиться")</f>
        <v>Ознакомиться</v>
      </c>
      <c r="W1104" s="8" t="s">
        <v>6593</v>
      </c>
      <c r="X1104" s="6"/>
      <c r="Y1104" s="6"/>
      <c r="Z1104" s="6"/>
      <c r="AA1104" s="6" t="s">
        <v>58</v>
      </c>
      <c r="AB1104" s="8"/>
    </row>
    <row r="1105" spans="1:28" s="4" customFormat="1" ht="42" customHeight="1">
      <c r="A1105" s="5">
        <v>0</v>
      </c>
      <c r="B1105" s="6" t="s">
        <v>6594</v>
      </c>
      <c r="C1105" s="13">
        <v>864</v>
      </c>
      <c r="D1105" s="8" t="s">
        <v>6595</v>
      </c>
      <c r="E1105" s="8" t="s">
        <v>6596</v>
      </c>
      <c r="F1105" s="8" t="s">
        <v>6597</v>
      </c>
      <c r="G1105" s="6" t="s">
        <v>38</v>
      </c>
      <c r="H1105" s="6" t="s">
        <v>39</v>
      </c>
      <c r="I1105" s="8" t="s">
        <v>40</v>
      </c>
      <c r="J1105" s="9">
        <v>1</v>
      </c>
      <c r="K1105" s="9">
        <v>138</v>
      </c>
      <c r="L1105" s="9">
        <v>2025</v>
      </c>
      <c r="M1105" s="8" t="s">
        <v>6598</v>
      </c>
      <c r="N1105" s="8" t="s">
        <v>42</v>
      </c>
      <c r="O1105" s="8" t="s">
        <v>189</v>
      </c>
      <c r="P1105" s="6" t="s">
        <v>44</v>
      </c>
      <c r="Q1105" s="8" t="s">
        <v>45</v>
      </c>
      <c r="R1105" s="10" t="s">
        <v>573</v>
      </c>
      <c r="S1105" s="11"/>
      <c r="T1105" s="6"/>
      <c r="U1105" s="24" t="str">
        <f>HYPERLINK("https://media.infra-m.ru/2205/2205605/cover/2205605.jpg", "Обложка")</f>
        <v>Обложка</v>
      </c>
      <c r="V1105" s="24" t="str">
        <f>HYPERLINK("https://znanium.ru/catalog/product/2205605", "Ознакомиться")</f>
        <v>Ознакомиться</v>
      </c>
      <c r="W1105" s="8" t="s">
        <v>207</v>
      </c>
      <c r="X1105" s="6"/>
      <c r="Y1105" s="6"/>
      <c r="Z1105" s="6"/>
      <c r="AA1105" s="6" t="s">
        <v>68</v>
      </c>
      <c r="AB1105" s="8"/>
    </row>
    <row r="1106" spans="1:28" s="4" customFormat="1" ht="42" customHeight="1">
      <c r="A1106" s="5">
        <v>0</v>
      </c>
      <c r="B1106" s="6" t="s">
        <v>6599</v>
      </c>
      <c r="C1106" s="7">
        <v>2148</v>
      </c>
      <c r="D1106" s="8" t="s">
        <v>6600</v>
      </c>
      <c r="E1106" s="8" t="s">
        <v>6601</v>
      </c>
      <c r="F1106" s="8" t="s">
        <v>6602</v>
      </c>
      <c r="G1106" s="6" t="s">
        <v>132</v>
      </c>
      <c r="H1106" s="6" t="s">
        <v>39</v>
      </c>
      <c r="I1106" s="8" t="s">
        <v>4102</v>
      </c>
      <c r="J1106" s="9">
        <v>1</v>
      </c>
      <c r="K1106" s="9">
        <v>311</v>
      </c>
      <c r="L1106" s="9">
        <v>2025</v>
      </c>
      <c r="M1106" s="8" t="s">
        <v>6603</v>
      </c>
      <c r="N1106" s="8" t="s">
        <v>284</v>
      </c>
      <c r="O1106" s="8" t="s">
        <v>285</v>
      </c>
      <c r="P1106" s="6" t="s">
        <v>239</v>
      </c>
      <c r="Q1106" s="8" t="s">
        <v>287</v>
      </c>
      <c r="R1106" s="10" t="s">
        <v>6604</v>
      </c>
      <c r="S1106" s="11"/>
      <c r="T1106" s="6"/>
      <c r="U1106" s="24" t="str">
        <f>HYPERLINK("https://media.infra-m.ru/1840/1840325/cover/1840325.jpg", "Обложка")</f>
        <v>Обложка</v>
      </c>
      <c r="V1106" s="24" t="str">
        <f>HYPERLINK("https://znanium.ru/catalog/product/1840325", "Ознакомиться")</f>
        <v>Ознакомиться</v>
      </c>
      <c r="W1106" s="8" t="s">
        <v>191</v>
      </c>
      <c r="X1106" s="6" t="s">
        <v>1188</v>
      </c>
      <c r="Y1106" s="6"/>
      <c r="Z1106" s="6"/>
      <c r="AA1106" s="6" t="s">
        <v>58</v>
      </c>
      <c r="AB1106" s="8"/>
    </row>
    <row r="1107" spans="1:28" s="4" customFormat="1" ht="42" customHeight="1">
      <c r="A1107" s="5">
        <v>0</v>
      </c>
      <c r="B1107" s="6" t="s">
        <v>6605</v>
      </c>
      <c r="C1107" s="13">
        <v>408</v>
      </c>
      <c r="D1107" s="8" t="s">
        <v>6606</v>
      </c>
      <c r="E1107" s="8" t="s">
        <v>6607</v>
      </c>
      <c r="F1107" s="8" t="s">
        <v>1891</v>
      </c>
      <c r="G1107" s="6" t="s">
        <v>38</v>
      </c>
      <c r="H1107" s="6" t="s">
        <v>39</v>
      </c>
      <c r="I1107" s="8" t="s">
        <v>1893</v>
      </c>
      <c r="J1107" s="9">
        <v>1</v>
      </c>
      <c r="K1107" s="9">
        <v>53</v>
      </c>
      <c r="L1107" s="9">
        <v>2023</v>
      </c>
      <c r="M1107" s="8" t="s">
        <v>6608</v>
      </c>
      <c r="N1107" s="8" t="s">
        <v>42</v>
      </c>
      <c r="O1107" s="8" t="s">
        <v>1315</v>
      </c>
      <c r="P1107" s="6" t="s">
        <v>2010</v>
      </c>
      <c r="Q1107" s="8" t="s">
        <v>1058</v>
      </c>
      <c r="R1107" s="10" t="s">
        <v>6609</v>
      </c>
      <c r="S1107" s="11"/>
      <c r="T1107" s="6"/>
      <c r="U1107" s="24" t="str">
        <f>HYPERLINK("https://media.infra-m.ru/1903/1903314/cover/1903314.jpg", "Обложка")</f>
        <v>Обложка</v>
      </c>
      <c r="V1107" s="24" t="str">
        <f>HYPERLINK("https://znanium.ru/catalog/product/1903314", "Ознакомиться")</f>
        <v>Ознакомиться</v>
      </c>
      <c r="W1107" s="8"/>
      <c r="X1107" s="6"/>
      <c r="Y1107" s="6"/>
      <c r="Z1107" s="6"/>
      <c r="AA1107" s="6" t="s">
        <v>119</v>
      </c>
      <c r="AB1107" s="8"/>
    </row>
    <row r="1108" spans="1:28" s="4" customFormat="1" ht="51.95" customHeight="1">
      <c r="A1108" s="5">
        <v>0</v>
      </c>
      <c r="B1108" s="6" t="s">
        <v>6610</v>
      </c>
      <c r="C1108" s="7">
        <v>2032.8</v>
      </c>
      <c r="D1108" s="8" t="s">
        <v>6611</v>
      </c>
      <c r="E1108" s="8" t="s">
        <v>6612</v>
      </c>
      <c r="F1108" s="8" t="s">
        <v>6613</v>
      </c>
      <c r="G1108" s="6" t="s">
        <v>81</v>
      </c>
      <c r="H1108" s="6" t="s">
        <v>39</v>
      </c>
      <c r="I1108" s="8" t="s">
        <v>6614</v>
      </c>
      <c r="J1108" s="9">
        <v>1</v>
      </c>
      <c r="K1108" s="9">
        <v>328</v>
      </c>
      <c r="L1108" s="9">
        <v>2024</v>
      </c>
      <c r="M1108" s="8" t="s">
        <v>6615</v>
      </c>
      <c r="N1108" s="8" t="s">
        <v>284</v>
      </c>
      <c r="O1108" s="8" t="s">
        <v>328</v>
      </c>
      <c r="P1108" s="6" t="s">
        <v>415</v>
      </c>
      <c r="Q1108" s="8" t="s">
        <v>287</v>
      </c>
      <c r="R1108" s="10" t="s">
        <v>6616</v>
      </c>
      <c r="S1108" s="11"/>
      <c r="T1108" s="6"/>
      <c r="U1108" s="24" t="str">
        <f>HYPERLINK("https://media.infra-m.ru/2140/2140867/cover/2140867.jpg", "Обложка")</f>
        <v>Обложка</v>
      </c>
      <c r="V1108" s="24" t="str">
        <f>HYPERLINK("https://znanium.ru/catalog/product/2231211", "Ознакомиться")</f>
        <v>Ознакомиться</v>
      </c>
      <c r="W1108" s="8" t="s">
        <v>6617</v>
      </c>
      <c r="X1108" s="6"/>
      <c r="Y1108" s="6"/>
      <c r="Z1108" s="6"/>
      <c r="AA1108" s="6" t="s">
        <v>76</v>
      </c>
      <c r="AB1108" s="8"/>
    </row>
    <row r="1109" spans="1:28" s="4" customFormat="1" ht="51.95" customHeight="1">
      <c r="A1109" s="5">
        <v>0</v>
      </c>
      <c r="B1109" s="6" t="s">
        <v>6618</v>
      </c>
      <c r="C1109" s="13">
        <v>984</v>
      </c>
      <c r="D1109" s="8" t="s">
        <v>6619</v>
      </c>
      <c r="E1109" s="8" t="s">
        <v>6620</v>
      </c>
      <c r="F1109" s="8" t="s">
        <v>6621</v>
      </c>
      <c r="G1109" s="6" t="s">
        <v>38</v>
      </c>
      <c r="H1109" s="6" t="s">
        <v>39</v>
      </c>
      <c r="I1109" s="8" t="s">
        <v>40</v>
      </c>
      <c r="J1109" s="9">
        <v>1</v>
      </c>
      <c r="K1109" s="9">
        <v>163</v>
      </c>
      <c r="L1109" s="9">
        <v>2025</v>
      </c>
      <c r="M1109" s="8" t="s">
        <v>6622</v>
      </c>
      <c r="N1109" s="8" t="s">
        <v>42</v>
      </c>
      <c r="O1109" s="8" t="s">
        <v>189</v>
      </c>
      <c r="P1109" s="6" t="s">
        <v>44</v>
      </c>
      <c r="Q1109" s="8" t="s">
        <v>45</v>
      </c>
      <c r="R1109" s="10" t="s">
        <v>6623</v>
      </c>
      <c r="S1109" s="11"/>
      <c r="T1109" s="6"/>
      <c r="U1109" s="24" t="str">
        <f>HYPERLINK("https://media.infra-m.ru/2164/2164000/cover/2164000.jpg", "Обложка")</f>
        <v>Обложка</v>
      </c>
      <c r="V1109" s="24" t="str">
        <f>HYPERLINK("https://znanium.ru/catalog/product/2164000", "Ознакомиться")</f>
        <v>Ознакомиться</v>
      </c>
      <c r="W1109" s="8" t="s">
        <v>535</v>
      </c>
      <c r="X1109" s="6"/>
      <c r="Y1109" s="6"/>
      <c r="Z1109" s="6"/>
      <c r="AA1109" s="6" t="s">
        <v>168</v>
      </c>
      <c r="AB1109" s="8"/>
    </row>
    <row r="1110" spans="1:28" s="4" customFormat="1" ht="42" customHeight="1">
      <c r="A1110" s="5">
        <v>0</v>
      </c>
      <c r="B1110" s="6" t="s">
        <v>6624</v>
      </c>
      <c r="C1110" s="13">
        <v>648</v>
      </c>
      <c r="D1110" s="8" t="s">
        <v>6625</v>
      </c>
      <c r="E1110" s="8" t="s">
        <v>6626</v>
      </c>
      <c r="F1110" s="8" t="s">
        <v>6627</v>
      </c>
      <c r="G1110" s="6" t="s">
        <v>38</v>
      </c>
      <c r="H1110" s="6" t="s">
        <v>39</v>
      </c>
      <c r="I1110" s="8" t="s">
        <v>40</v>
      </c>
      <c r="J1110" s="9">
        <v>1</v>
      </c>
      <c r="K1110" s="9">
        <v>108</v>
      </c>
      <c r="L1110" s="9">
        <v>2024</v>
      </c>
      <c r="M1110" s="8" t="s">
        <v>6628</v>
      </c>
      <c r="N1110" s="8" t="s">
        <v>42</v>
      </c>
      <c r="O1110" s="8" t="s">
        <v>101</v>
      </c>
      <c r="P1110" s="6" t="s">
        <v>44</v>
      </c>
      <c r="Q1110" s="8" t="s">
        <v>45</v>
      </c>
      <c r="R1110" s="10" t="s">
        <v>2137</v>
      </c>
      <c r="S1110" s="11"/>
      <c r="T1110" s="6"/>
      <c r="U1110" s="24" t="str">
        <f>HYPERLINK("https://media.infra-m.ru/2155/2155757/cover/2155757.jpg", "Обложка")</f>
        <v>Обложка</v>
      </c>
      <c r="V1110" s="24" t="str">
        <f>HYPERLINK("https://znanium.ru/catalog/product/1709590", "Ознакомиться")</f>
        <v>Ознакомиться</v>
      </c>
      <c r="W1110" s="8" t="s">
        <v>2491</v>
      </c>
      <c r="X1110" s="6"/>
      <c r="Y1110" s="6"/>
      <c r="Z1110" s="6"/>
      <c r="AA1110" s="6" t="s">
        <v>369</v>
      </c>
      <c r="AB1110" s="8"/>
    </row>
    <row r="1111" spans="1:28" s="4" customFormat="1" ht="51.95" customHeight="1">
      <c r="A1111" s="5">
        <v>0</v>
      </c>
      <c r="B1111" s="6" t="s">
        <v>6629</v>
      </c>
      <c r="C1111" s="13">
        <v>892.8</v>
      </c>
      <c r="D1111" s="8" t="s">
        <v>6630</v>
      </c>
      <c r="E1111" s="8" t="s">
        <v>6631</v>
      </c>
      <c r="F1111" s="8" t="s">
        <v>6632</v>
      </c>
      <c r="G1111" s="6" t="s">
        <v>38</v>
      </c>
      <c r="H1111" s="6" t="s">
        <v>39</v>
      </c>
      <c r="I1111" s="8" t="s">
        <v>40</v>
      </c>
      <c r="J1111" s="9">
        <v>1</v>
      </c>
      <c r="K1111" s="9">
        <v>144</v>
      </c>
      <c r="L1111" s="9">
        <v>2025</v>
      </c>
      <c r="M1111" s="8" t="s">
        <v>6633</v>
      </c>
      <c r="N1111" s="8" t="s">
        <v>42</v>
      </c>
      <c r="O1111" s="8" t="s">
        <v>246</v>
      </c>
      <c r="P1111" s="6" t="s">
        <v>44</v>
      </c>
      <c r="Q1111" s="8" t="s">
        <v>45</v>
      </c>
      <c r="R1111" s="10" t="s">
        <v>6634</v>
      </c>
      <c r="S1111" s="11"/>
      <c r="T1111" s="6"/>
      <c r="U1111" s="24" t="str">
        <f>HYPERLINK("https://media.infra-m.ru/2209/2209272/cover/2209272.jpg", "Обложка")</f>
        <v>Обложка</v>
      </c>
      <c r="V1111" s="24" t="str">
        <f>HYPERLINK("https://znanium.ru/catalog/product/1861123", "Ознакомиться")</f>
        <v>Ознакомиться</v>
      </c>
      <c r="W1111" s="8" t="s">
        <v>191</v>
      </c>
      <c r="X1111" s="6"/>
      <c r="Y1111" s="6"/>
      <c r="Z1111" s="6"/>
      <c r="AA1111" s="6" t="s">
        <v>94</v>
      </c>
      <c r="AB1111" s="8"/>
    </row>
    <row r="1112" spans="1:28" s="4" customFormat="1" ht="42" customHeight="1">
      <c r="A1112" s="5">
        <v>0</v>
      </c>
      <c r="B1112" s="6" t="s">
        <v>6635</v>
      </c>
      <c r="C1112" s="13">
        <v>972</v>
      </c>
      <c r="D1112" s="8" t="s">
        <v>6636</v>
      </c>
      <c r="E1112" s="8" t="s">
        <v>6637</v>
      </c>
      <c r="F1112" s="8" t="s">
        <v>6638</v>
      </c>
      <c r="G1112" s="6" t="s">
        <v>132</v>
      </c>
      <c r="H1112" s="6" t="s">
        <v>39</v>
      </c>
      <c r="I1112" s="8" t="s">
        <v>40</v>
      </c>
      <c r="J1112" s="9">
        <v>1</v>
      </c>
      <c r="K1112" s="9">
        <v>162</v>
      </c>
      <c r="L1112" s="9">
        <v>2024</v>
      </c>
      <c r="M1112" s="8" t="s">
        <v>6639</v>
      </c>
      <c r="N1112" s="8" t="s">
        <v>42</v>
      </c>
      <c r="O1112" s="8" t="s">
        <v>101</v>
      </c>
      <c r="P1112" s="6" t="s">
        <v>44</v>
      </c>
      <c r="Q1112" s="8" t="s">
        <v>45</v>
      </c>
      <c r="R1112" s="10" t="s">
        <v>269</v>
      </c>
      <c r="S1112" s="11"/>
      <c r="T1112" s="6"/>
      <c r="U1112" s="24" t="str">
        <f>HYPERLINK("https://media.infra-m.ru/2074/2074249/cover/2074249.jpg", "Обложка")</f>
        <v>Обложка</v>
      </c>
      <c r="V1112" s="24" t="str">
        <f>HYPERLINK("https://znanium.ru/catalog/product/2074249", "Ознакомиться")</f>
        <v>Ознакомиться</v>
      </c>
      <c r="W1112" s="8" t="s">
        <v>6640</v>
      </c>
      <c r="X1112" s="6"/>
      <c r="Y1112" s="6"/>
      <c r="Z1112" s="6"/>
      <c r="AA1112" s="6" t="s">
        <v>58</v>
      </c>
      <c r="AB1112" s="8"/>
    </row>
    <row r="1113" spans="1:28" s="4" customFormat="1" ht="42" customHeight="1">
      <c r="A1113" s="5">
        <v>0</v>
      </c>
      <c r="B1113" s="6" t="s">
        <v>6641</v>
      </c>
      <c r="C1113" s="7">
        <v>1296</v>
      </c>
      <c r="D1113" s="8" t="s">
        <v>6642</v>
      </c>
      <c r="E1113" s="8" t="s">
        <v>6643</v>
      </c>
      <c r="F1113" s="8" t="s">
        <v>6644</v>
      </c>
      <c r="G1113" s="6" t="s">
        <v>38</v>
      </c>
      <c r="H1113" s="6" t="s">
        <v>39</v>
      </c>
      <c r="I1113" s="8" t="s">
        <v>40</v>
      </c>
      <c r="J1113" s="9">
        <v>1</v>
      </c>
      <c r="K1113" s="9">
        <v>195</v>
      </c>
      <c r="L1113" s="9">
        <v>2026</v>
      </c>
      <c r="M1113" s="8" t="s">
        <v>6645</v>
      </c>
      <c r="N1113" s="8" t="s">
        <v>54</v>
      </c>
      <c r="O1113" s="8" t="s">
        <v>6646</v>
      </c>
      <c r="P1113" s="6" t="s">
        <v>44</v>
      </c>
      <c r="Q1113" s="8" t="s">
        <v>45</v>
      </c>
      <c r="R1113" s="10" t="s">
        <v>6647</v>
      </c>
      <c r="S1113" s="11"/>
      <c r="T1113" s="6"/>
      <c r="U1113" s="24" t="str">
        <f>HYPERLINK("https://media.infra-m.ru/2224/2224053/cover/2224053.jpg", "Обложка")</f>
        <v>Обложка</v>
      </c>
      <c r="V1113" s="24" t="str">
        <f>HYPERLINK("https://znanium.ru/catalog/product/2224053", "Ознакомиться")</f>
        <v>Ознакомиться</v>
      </c>
      <c r="W1113" s="8" t="s">
        <v>1601</v>
      </c>
      <c r="X1113" s="6"/>
      <c r="Y1113" s="6"/>
      <c r="Z1113" s="6"/>
      <c r="AA1113" s="6" t="s">
        <v>119</v>
      </c>
      <c r="AB1113" s="8"/>
    </row>
    <row r="1114" spans="1:28" s="4" customFormat="1" ht="51.95" customHeight="1">
      <c r="A1114" s="5">
        <v>0</v>
      </c>
      <c r="B1114" s="6" t="s">
        <v>6648</v>
      </c>
      <c r="C1114" s="7">
        <v>1584</v>
      </c>
      <c r="D1114" s="8" t="s">
        <v>6649</v>
      </c>
      <c r="E1114" s="8" t="s">
        <v>6650</v>
      </c>
      <c r="F1114" s="8" t="s">
        <v>6651</v>
      </c>
      <c r="G1114" s="6" t="s">
        <v>38</v>
      </c>
      <c r="H1114" s="6" t="s">
        <v>39</v>
      </c>
      <c r="I1114" s="8" t="s">
        <v>40</v>
      </c>
      <c r="J1114" s="9">
        <v>1</v>
      </c>
      <c r="K1114" s="9">
        <v>240</v>
      </c>
      <c r="L1114" s="9">
        <v>2026</v>
      </c>
      <c r="M1114" s="8" t="s">
        <v>6652</v>
      </c>
      <c r="N1114" s="8" t="s">
        <v>54</v>
      </c>
      <c r="O1114" s="8" t="s">
        <v>6646</v>
      </c>
      <c r="P1114" s="6" t="s">
        <v>44</v>
      </c>
      <c r="Q1114" s="8" t="s">
        <v>45</v>
      </c>
      <c r="R1114" s="10" t="s">
        <v>6653</v>
      </c>
      <c r="S1114" s="11"/>
      <c r="T1114" s="6"/>
      <c r="U1114" s="24" t="str">
        <f>HYPERLINK("https://media.infra-m.ru/2231/2231240/cover/2231240.jpg", "Обложка")</f>
        <v>Обложка</v>
      </c>
      <c r="V1114" s="24" t="str">
        <f>HYPERLINK("https://znanium.ru/catalog/product/2231240", "Ознакомиться")</f>
        <v>Ознакомиться</v>
      </c>
      <c r="W1114" s="8" t="s">
        <v>6654</v>
      </c>
      <c r="X1114" s="6"/>
      <c r="Y1114" s="6"/>
      <c r="Z1114" s="6"/>
      <c r="AA1114" s="6" t="s">
        <v>177</v>
      </c>
      <c r="AB1114" s="8"/>
    </row>
    <row r="1115" spans="1:28" s="4" customFormat="1" ht="51.95" customHeight="1">
      <c r="A1115" s="5">
        <v>0</v>
      </c>
      <c r="B1115" s="6" t="s">
        <v>6655</v>
      </c>
      <c r="C1115" s="13">
        <v>628.79999999999995</v>
      </c>
      <c r="D1115" s="8" t="s">
        <v>6656</v>
      </c>
      <c r="E1115" s="8" t="s">
        <v>6657</v>
      </c>
      <c r="F1115" s="8" t="s">
        <v>6658</v>
      </c>
      <c r="G1115" s="6" t="s">
        <v>38</v>
      </c>
      <c r="H1115" s="6" t="s">
        <v>39</v>
      </c>
      <c r="I1115" s="8" t="s">
        <v>344</v>
      </c>
      <c r="J1115" s="9">
        <v>1</v>
      </c>
      <c r="K1115" s="9">
        <v>117</v>
      </c>
      <c r="L1115" s="9">
        <v>2023</v>
      </c>
      <c r="M1115" s="8" t="s">
        <v>6659</v>
      </c>
      <c r="N1115" s="8" t="s">
        <v>284</v>
      </c>
      <c r="O1115" s="8" t="s">
        <v>383</v>
      </c>
      <c r="P1115" s="6" t="s">
        <v>44</v>
      </c>
      <c r="Q1115" s="8" t="s">
        <v>45</v>
      </c>
      <c r="R1115" s="10" t="s">
        <v>6660</v>
      </c>
      <c r="S1115" s="11"/>
      <c r="T1115" s="6"/>
      <c r="U1115" s="24" t="str">
        <f>HYPERLINK("https://media.infra-m.ru/2006/2006868/cover/2006868.jpg", "Обложка")</f>
        <v>Обложка</v>
      </c>
      <c r="V1115" s="12"/>
      <c r="W1115" s="8" t="s">
        <v>346</v>
      </c>
      <c r="X1115" s="6"/>
      <c r="Y1115" s="6"/>
      <c r="Z1115" s="6"/>
      <c r="AA1115" s="6" t="s">
        <v>68</v>
      </c>
      <c r="AB1115" s="8"/>
    </row>
    <row r="1116" spans="1:28" s="4" customFormat="1" ht="42" customHeight="1">
      <c r="A1116" s="5">
        <v>0</v>
      </c>
      <c r="B1116" s="6" t="s">
        <v>6661</v>
      </c>
      <c r="C1116" s="7">
        <v>1264.8</v>
      </c>
      <c r="D1116" s="8" t="s">
        <v>6662</v>
      </c>
      <c r="E1116" s="8" t="s">
        <v>6663</v>
      </c>
      <c r="F1116" s="8" t="s">
        <v>5883</v>
      </c>
      <c r="G1116" s="6" t="s">
        <v>81</v>
      </c>
      <c r="H1116" s="6" t="s">
        <v>99</v>
      </c>
      <c r="I1116" s="8"/>
      <c r="J1116" s="9">
        <v>1</v>
      </c>
      <c r="K1116" s="9">
        <v>224</v>
      </c>
      <c r="L1116" s="9">
        <v>2024</v>
      </c>
      <c r="M1116" s="8" t="s">
        <v>6664</v>
      </c>
      <c r="N1116" s="8" t="s">
        <v>42</v>
      </c>
      <c r="O1116" s="8" t="s">
        <v>101</v>
      </c>
      <c r="P1116" s="6" t="s">
        <v>44</v>
      </c>
      <c r="Q1116" s="8" t="s">
        <v>45</v>
      </c>
      <c r="R1116" s="10" t="s">
        <v>338</v>
      </c>
      <c r="S1116" s="11"/>
      <c r="T1116" s="6"/>
      <c r="U1116" s="24" t="str">
        <f>HYPERLINK("https://media.infra-m.ru/2133/2133521/cover/2133521.jpg", "Обложка")</f>
        <v>Обложка</v>
      </c>
      <c r="V1116" s="24" t="str">
        <f>HYPERLINK("https://znanium.ru/catalog/product/1858563", "Ознакомиться")</f>
        <v>Ознакомиться</v>
      </c>
      <c r="W1116" s="8" t="s">
        <v>565</v>
      </c>
      <c r="X1116" s="6"/>
      <c r="Y1116" s="6"/>
      <c r="Z1116" s="6"/>
      <c r="AA1116" s="6" t="s">
        <v>76</v>
      </c>
      <c r="AB1116" s="8"/>
    </row>
    <row r="1117" spans="1:28" s="4" customFormat="1" ht="42" customHeight="1">
      <c r="A1117" s="5">
        <v>0</v>
      </c>
      <c r="B1117" s="6" t="s">
        <v>6665</v>
      </c>
      <c r="C1117" s="7">
        <v>1788</v>
      </c>
      <c r="D1117" s="8" t="s">
        <v>6666</v>
      </c>
      <c r="E1117" s="8" t="s">
        <v>6667</v>
      </c>
      <c r="F1117" s="8" t="s">
        <v>6668</v>
      </c>
      <c r="G1117" s="6" t="s">
        <v>81</v>
      </c>
      <c r="H1117" s="6" t="s">
        <v>39</v>
      </c>
      <c r="I1117" s="8" t="s">
        <v>40</v>
      </c>
      <c r="J1117" s="9">
        <v>1</v>
      </c>
      <c r="K1117" s="9">
        <v>271</v>
      </c>
      <c r="L1117" s="9">
        <v>2026</v>
      </c>
      <c r="M1117" s="8" t="s">
        <v>6669</v>
      </c>
      <c r="N1117" s="8" t="s">
        <v>54</v>
      </c>
      <c r="O1117" s="8" t="s">
        <v>91</v>
      </c>
      <c r="P1117" s="6" t="s">
        <v>44</v>
      </c>
      <c r="Q1117" s="8" t="s">
        <v>45</v>
      </c>
      <c r="R1117" s="10" t="s">
        <v>6670</v>
      </c>
      <c r="S1117" s="11"/>
      <c r="T1117" s="6"/>
      <c r="U1117" s="24" t="str">
        <f>HYPERLINK("https://media.infra-m.ru/2223/2223143/cover/2223143.jpg", "Обложка")</f>
        <v>Обложка</v>
      </c>
      <c r="V1117" s="24" t="str">
        <f>HYPERLINK("https://znanium.ru/catalog/product/2223143", "Ознакомиться")</f>
        <v>Ознакомиться</v>
      </c>
      <c r="W1117" s="8" t="s">
        <v>3131</v>
      </c>
      <c r="X1117" s="6"/>
      <c r="Y1117" s="6"/>
      <c r="Z1117" s="6"/>
      <c r="AA1117" s="6" t="s">
        <v>159</v>
      </c>
      <c r="AB1117" s="8"/>
    </row>
    <row r="1118" spans="1:28" s="4" customFormat="1" ht="44.1" customHeight="1">
      <c r="A1118" s="5">
        <v>0</v>
      </c>
      <c r="B1118" s="6" t="s">
        <v>6671</v>
      </c>
      <c r="C1118" s="13">
        <v>808.8</v>
      </c>
      <c r="D1118" s="8" t="s">
        <v>6672</v>
      </c>
      <c r="E1118" s="8" t="s">
        <v>6673</v>
      </c>
      <c r="F1118" s="8" t="s">
        <v>6674</v>
      </c>
      <c r="G1118" s="6" t="s">
        <v>38</v>
      </c>
      <c r="H1118" s="6" t="s">
        <v>1019</v>
      </c>
      <c r="I1118" s="8" t="s">
        <v>1020</v>
      </c>
      <c r="J1118" s="9">
        <v>1</v>
      </c>
      <c r="K1118" s="9">
        <v>146</v>
      </c>
      <c r="L1118" s="9">
        <v>2024</v>
      </c>
      <c r="M1118" s="8" t="s">
        <v>6675</v>
      </c>
      <c r="N1118" s="8" t="s">
        <v>284</v>
      </c>
      <c r="O1118" s="8" t="s">
        <v>285</v>
      </c>
      <c r="P1118" s="6" t="s">
        <v>44</v>
      </c>
      <c r="Q1118" s="8" t="s">
        <v>1152</v>
      </c>
      <c r="R1118" s="10" t="s">
        <v>6676</v>
      </c>
      <c r="S1118" s="11"/>
      <c r="T1118" s="6"/>
      <c r="U1118" s="24" t="str">
        <f>HYPERLINK("https://media.infra-m.ru/2102/2102718/cover/2102718.jpg", "Обложка")</f>
        <v>Обложка</v>
      </c>
      <c r="V1118" s="24" t="str">
        <f>HYPERLINK("https://znanium.ru/catalog/product/960012", "Ознакомиться")</f>
        <v>Ознакомиться</v>
      </c>
      <c r="W1118" s="8" t="s">
        <v>176</v>
      </c>
      <c r="X1118" s="6"/>
      <c r="Y1118" s="6"/>
      <c r="Z1118" s="6"/>
      <c r="AA1118" s="6" t="s">
        <v>339</v>
      </c>
      <c r="AB1118" s="8"/>
    </row>
    <row r="1119" spans="1:28" s="4" customFormat="1" ht="42" customHeight="1">
      <c r="A1119" s="5">
        <v>0</v>
      </c>
      <c r="B1119" s="6" t="s">
        <v>6677</v>
      </c>
      <c r="C1119" s="7">
        <v>1996.8</v>
      </c>
      <c r="D1119" s="8" t="s">
        <v>6678</v>
      </c>
      <c r="E1119" s="8" t="s">
        <v>6679</v>
      </c>
      <c r="F1119" s="8" t="s">
        <v>6680</v>
      </c>
      <c r="G1119" s="6" t="s">
        <v>81</v>
      </c>
      <c r="H1119" s="6" t="s">
        <v>99</v>
      </c>
      <c r="I1119" s="8"/>
      <c r="J1119" s="9">
        <v>1</v>
      </c>
      <c r="K1119" s="9">
        <v>320</v>
      </c>
      <c r="L1119" s="9">
        <v>2025</v>
      </c>
      <c r="M1119" s="8" t="s">
        <v>6681</v>
      </c>
      <c r="N1119" s="8" t="s">
        <v>42</v>
      </c>
      <c r="O1119" s="8" t="s">
        <v>101</v>
      </c>
      <c r="P1119" s="6" t="s">
        <v>44</v>
      </c>
      <c r="Q1119" s="8" t="s">
        <v>45</v>
      </c>
      <c r="R1119" s="10" t="s">
        <v>6682</v>
      </c>
      <c r="S1119" s="11"/>
      <c r="T1119" s="6"/>
      <c r="U1119" s="24" t="str">
        <f>HYPERLINK("https://media.infra-m.ru/2208/2208441/cover/2208441.jpg", "Обложка")</f>
        <v>Обложка</v>
      </c>
      <c r="V1119" s="24" t="str">
        <f>HYPERLINK("https://znanium.ru/catalog/product/2129585", "Ознакомиться")</f>
        <v>Ознакомиться</v>
      </c>
      <c r="W1119" s="8" t="s">
        <v>418</v>
      </c>
      <c r="X1119" s="6"/>
      <c r="Y1119" s="6"/>
      <c r="Z1119" s="6"/>
      <c r="AA1119" s="6" t="s">
        <v>168</v>
      </c>
      <c r="AB1119" s="8"/>
    </row>
    <row r="1120" spans="1:28" s="4" customFormat="1" ht="42" customHeight="1">
      <c r="A1120" s="5">
        <v>0</v>
      </c>
      <c r="B1120" s="6" t="s">
        <v>6683</v>
      </c>
      <c r="C1120" s="13">
        <v>628.79999999999995</v>
      </c>
      <c r="D1120" s="8" t="s">
        <v>6684</v>
      </c>
      <c r="E1120" s="8" t="s">
        <v>6685</v>
      </c>
      <c r="F1120" s="8" t="s">
        <v>1585</v>
      </c>
      <c r="G1120" s="6" t="s">
        <v>1892</v>
      </c>
      <c r="H1120" s="6" t="s">
        <v>99</v>
      </c>
      <c r="I1120" s="8"/>
      <c r="J1120" s="9">
        <v>1</v>
      </c>
      <c r="K1120" s="9">
        <v>40</v>
      </c>
      <c r="L1120" s="9">
        <v>2026</v>
      </c>
      <c r="M1120" s="8" t="s">
        <v>6686</v>
      </c>
      <c r="N1120" s="8" t="s">
        <v>42</v>
      </c>
      <c r="O1120" s="8" t="s">
        <v>101</v>
      </c>
      <c r="P1120" s="6" t="s">
        <v>44</v>
      </c>
      <c r="Q1120" s="8" t="s">
        <v>45</v>
      </c>
      <c r="R1120" s="10" t="s">
        <v>338</v>
      </c>
      <c r="S1120" s="11"/>
      <c r="T1120" s="6"/>
      <c r="U1120" s="24" t="str">
        <f>HYPERLINK("https://media.infra-m.ru/2221/2221833/cover/2221833.jpg", "Обложка")</f>
        <v>Обложка</v>
      </c>
      <c r="V1120" s="24" t="str">
        <f>HYPERLINK("https://znanium.ru/catalog/product/1926384", "Ознакомиться")</f>
        <v>Ознакомиться</v>
      </c>
      <c r="W1120" s="8" t="s">
        <v>565</v>
      </c>
      <c r="X1120" s="6"/>
      <c r="Y1120" s="6"/>
      <c r="Z1120" s="6"/>
      <c r="AA1120" s="6" t="s">
        <v>377</v>
      </c>
      <c r="AB1120" s="8"/>
    </row>
    <row r="1121" spans="1:28" s="4" customFormat="1" ht="44.1" customHeight="1">
      <c r="A1121" s="5">
        <v>0</v>
      </c>
      <c r="B1121" s="6" t="s">
        <v>6687</v>
      </c>
      <c r="C1121" s="7">
        <v>1212</v>
      </c>
      <c r="D1121" s="8" t="s">
        <v>6688</v>
      </c>
      <c r="E1121" s="8" t="s">
        <v>6689</v>
      </c>
      <c r="F1121" s="8" t="s">
        <v>6690</v>
      </c>
      <c r="G1121" s="6" t="s">
        <v>81</v>
      </c>
      <c r="H1121" s="6" t="s">
        <v>571</v>
      </c>
      <c r="I1121" s="8"/>
      <c r="J1121" s="9">
        <v>1</v>
      </c>
      <c r="K1121" s="9">
        <v>272</v>
      </c>
      <c r="L1121" s="9">
        <v>2021</v>
      </c>
      <c r="M1121" s="8" t="s">
        <v>6691</v>
      </c>
      <c r="N1121" s="8" t="s">
        <v>42</v>
      </c>
      <c r="O1121" s="8" t="s">
        <v>189</v>
      </c>
      <c r="P1121" s="6" t="s">
        <v>44</v>
      </c>
      <c r="Q1121" s="8" t="s">
        <v>45</v>
      </c>
      <c r="R1121" s="10" t="s">
        <v>6292</v>
      </c>
      <c r="S1121" s="11"/>
      <c r="T1121" s="6"/>
      <c r="U1121" s="24" t="str">
        <f>HYPERLINK("https://media.infra-m.ru/1146/1146800/cover/1146800.jpg", "Обложка")</f>
        <v>Обложка</v>
      </c>
      <c r="V1121" s="24" t="str">
        <f>HYPERLINK("https://znanium.ru/catalog/product/1146800", "Ознакомиться")</f>
        <v>Ознакомиться</v>
      </c>
      <c r="W1121" s="8" t="s">
        <v>167</v>
      </c>
      <c r="X1121" s="6"/>
      <c r="Y1121" s="6"/>
      <c r="Z1121" s="6"/>
      <c r="AA1121" s="6" t="s">
        <v>369</v>
      </c>
      <c r="AB1121" s="8"/>
    </row>
    <row r="1122" spans="1:28" s="4" customFormat="1" ht="42" customHeight="1">
      <c r="A1122" s="5">
        <v>0</v>
      </c>
      <c r="B1122" s="6" t="s">
        <v>6692</v>
      </c>
      <c r="C1122" s="13">
        <v>864</v>
      </c>
      <c r="D1122" s="8" t="s">
        <v>6693</v>
      </c>
      <c r="E1122" s="8" t="s">
        <v>6694</v>
      </c>
      <c r="F1122" s="8" t="s">
        <v>6695</v>
      </c>
      <c r="G1122" s="6" t="s">
        <v>38</v>
      </c>
      <c r="H1122" s="6" t="s">
        <v>39</v>
      </c>
      <c r="I1122" s="8" t="s">
        <v>40</v>
      </c>
      <c r="J1122" s="9">
        <v>1</v>
      </c>
      <c r="K1122" s="9">
        <v>160</v>
      </c>
      <c r="L1122" s="9">
        <v>2022</v>
      </c>
      <c r="M1122" s="8" t="s">
        <v>6696</v>
      </c>
      <c r="N1122" s="8" t="s">
        <v>42</v>
      </c>
      <c r="O1122" s="8" t="s">
        <v>189</v>
      </c>
      <c r="P1122" s="6" t="s">
        <v>44</v>
      </c>
      <c r="Q1122" s="8" t="s">
        <v>45</v>
      </c>
      <c r="R1122" s="10" t="s">
        <v>1419</v>
      </c>
      <c r="S1122" s="11"/>
      <c r="T1122" s="6"/>
      <c r="U1122" s="24" t="str">
        <f>HYPERLINK("https://media.infra-m.ru/1816/1816637/cover/1816637.jpg", "Обложка")</f>
        <v>Обложка</v>
      </c>
      <c r="V1122" s="24" t="str">
        <f>HYPERLINK("https://znanium.ru/catalog/product/1816637", "Ознакомиться")</f>
        <v>Ознакомиться</v>
      </c>
      <c r="W1122" s="8" t="s">
        <v>3613</v>
      </c>
      <c r="X1122" s="6"/>
      <c r="Y1122" s="6"/>
      <c r="Z1122" s="6"/>
      <c r="AA1122" s="6" t="s">
        <v>111</v>
      </c>
      <c r="AB1122" s="8"/>
    </row>
    <row r="1123" spans="1:28" s="4" customFormat="1" ht="51.95" customHeight="1">
      <c r="A1123" s="5">
        <v>0</v>
      </c>
      <c r="B1123" s="6" t="s">
        <v>6697</v>
      </c>
      <c r="C1123" s="13">
        <v>641.9</v>
      </c>
      <c r="D1123" s="8" t="s">
        <v>6698</v>
      </c>
      <c r="E1123" s="8" t="s">
        <v>6699</v>
      </c>
      <c r="F1123" s="8" t="s">
        <v>6700</v>
      </c>
      <c r="G1123" s="6" t="s">
        <v>38</v>
      </c>
      <c r="H1123" s="6" t="s">
        <v>39</v>
      </c>
      <c r="I1123" s="8" t="s">
        <v>40</v>
      </c>
      <c r="J1123" s="9">
        <v>1</v>
      </c>
      <c r="K1123" s="9">
        <v>137</v>
      </c>
      <c r="L1123" s="9">
        <v>2022</v>
      </c>
      <c r="M1123" s="8" t="s">
        <v>6701</v>
      </c>
      <c r="N1123" s="8" t="s">
        <v>42</v>
      </c>
      <c r="O1123" s="8" t="s">
        <v>189</v>
      </c>
      <c r="P1123" s="6" t="s">
        <v>44</v>
      </c>
      <c r="Q1123" s="8" t="s">
        <v>45</v>
      </c>
      <c r="R1123" s="10" t="s">
        <v>6702</v>
      </c>
      <c r="S1123" s="11"/>
      <c r="T1123" s="6"/>
      <c r="U1123" s="24" t="str">
        <f>HYPERLINK("https://media.infra-m.ru/1850/1850647/cover/1850647.jpg", "Обложка")</f>
        <v>Обложка</v>
      </c>
      <c r="V1123" s="24" t="str">
        <f>HYPERLINK("https://znanium.ru/catalog/product/1850647", "Ознакомиться")</f>
        <v>Ознакомиться</v>
      </c>
      <c r="W1123" s="8" t="s">
        <v>167</v>
      </c>
      <c r="X1123" s="6"/>
      <c r="Y1123" s="6"/>
      <c r="Z1123" s="6"/>
      <c r="AA1123" s="6" t="s">
        <v>127</v>
      </c>
      <c r="AB1123" s="8"/>
    </row>
    <row r="1124" spans="1:28" s="4" customFormat="1" ht="44.1" customHeight="1">
      <c r="A1124" s="5">
        <v>0</v>
      </c>
      <c r="B1124" s="6" t="s">
        <v>6703</v>
      </c>
      <c r="C1124" s="13">
        <v>708</v>
      </c>
      <c r="D1124" s="8" t="s">
        <v>6704</v>
      </c>
      <c r="E1124" s="8" t="s">
        <v>6705</v>
      </c>
      <c r="F1124" s="8" t="s">
        <v>6706</v>
      </c>
      <c r="G1124" s="6" t="s">
        <v>38</v>
      </c>
      <c r="H1124" s="6" t="s">
        <v>39</v>
      </c>
      <c r="I1124" s="8" t="s">
        <v>40</v>
      </c>
      <c r="J1124" s="9">
        <v>1</v>
      </c>
      <c r="K1124" s="9">
        <v>127</v>
      </c>
      <c r="L1124" s="9">
        <v>2024</v>
      </c>
      <c r="M1124" s="8" t="s">
        <v>6707</v>
      </c>
      <c r="N1124" s="8" t="s">
        <v>42</v>
      </c>
      <c r="O1124" s="8" t="s">
        <v>189</v>
      </c>
      <c r="P1124" s="6" t="s">
        <v>44</v>
      </c>
      <c r="Q1124" s="8" t="s">
        <v>45</v>
      </c>
      <c r="R1124" s="10" t="s">
        <v>6708</v>
      </c>
      <c r="S1124" s="11"/>
      <c r="T1124" s="6"/>
      <c r="U1124" s="24" t="str">
        <f>HYPERLINK("https://media.infra-m.ru/2117/2117111/cover/2117111.jpg", "Обложка")</f>
        <v>Обложка</v>
      </c>
      <c r="V1124" s="24" t="str">
        <f>HYPERLINK("https://znanium.ru/catalog/product/2117111", "Ознакомиться")</f>
        <v>Ознакомиться</v>
      </c>
      <c r="W1124" s="8" t="s">
        <v>1413</v>
      </c>
      <c r="X1124" s="6"/>
      <c r="Y1124" s="6"/>
      <c r="Z1124" s="6"/>
      <c r="AA1124" s="6" t="s">
        <v>68</v>
      </c>
      <c r="AB1124" s="8"/>
    </row>
    <row r="1125" spans="1:28" s="4" customFormat="1" ht="44.1" customHeight="1">
      <c r="A1125" s="5">
        <v>0</v>
      </c>
      <c r="B1125" s="6" t="s">
        <v>6709</v>
      </c>
      <c r="C1125" s="7">
        <v>1336.8</v>
      </c>
      <c r="D1125" s="8" t="s">
        <v>6710</v>
      </c>
      <c r="E1125" s="8" t="s">
        <v>6711</v>
      </c>
      <c r="F1125" s="8" t="s">
        <v>6712</v>
      </c>
      <c r="G1125" s="6" t="s">
        <v>38</v>
      </c>
      <c r="H1125" s="6" t="s">
        <v>1019</v>
      </c>
      <c r="I1125" s="8" t="s">
        <v>1020</v>
      </c>
      <c r="J1125" s="9">
        <v>1</v>
      </c>
      <c r="K1125" s="9">
        <v>246</v>
      </c>
      <c r="L1125" s="9">
        <v>2023</v>
      </c>
      <c r="M1125" s="8" t="s">
        <v>6713</v>
      </c>
      <c r="N1125" s="8" t="s">
        <v>42</v>
      </c>
      <c r="O1125" s="8" t="s">
        <v>189</v>
      </c>
      <c r="P1125" s="6" t="s">
        <v>44</v>
      </c>
      <c r="Q1125" s="8" t="s">
        <v>3762</v>
      </c>
      <c r="R1125" s="10" t="s">
        <v>6714</v>
      </c>
      <c r="S1125" s="11"/>
      <c r="T1125" s="6"/>
      <c r="U1125" s="24" t="str">
        <f>HYPERLINK("https://media.infra-m.ru/2006/2006026/cover/2006026.jpg", "Обложка")</f>
        <v>Обложка</v>
      </c>
      <c r="V1125" s="24" t="str">
        <f>HYPERLINK("https://znanium.ru/catalog/product/923498", "Ознакомиться")</f>
        <v>Ознакомиться</v>
      </c>
      <c r="W1125" s="8" t="s">
        <v>167</v>
      </c>
      <c r="X1125" s="6"/>
      <c r="Y1125" s="6"/>
      <c r="Z1125" s="6"/>
      <c r="AA1125" s="6" t="s">
        <v>369</v>
      </c>
      <c r="AB1125" s="8" t="s">
        <v>653</v>
      </c>
    </row>
    <row r="1126" spans="1:28" s="4" customFormat="1" ht="44.1" customHeight="1">
      <c r="A1126" s="5">
        <v>0</v>
      </c>
      <c r="B1126" s="6" t="s">
        <v>6715</v>
      </c>
      <c r="C1126" s="7">
        <v>2388</v>
      </c>
      <c r="D1126" s="8" t="s">
        <v>6716</v>
      </c>
      <c r="E1126" s="8" t="s">
        <v>6717</v>
      </c>
      <c r="F1126" s="8" t="s">
        <v>6718</v>
      </c>
      <c r="G1126" s="6" t="s">
        <v>132</v>
      </c>
      <c r="H1126" s="6" t="s">
        <v>39</v>
      </c>
      <c r="I1126" s="8" t="s">
        <v>40</v>
      </c>
      <c r="J1126" s="9">
        <v>1</v>
      </c>
      <c r="K1126" s="9">
        <v>417</v>
      </c>
      <c r="L1126" s="9">
        <v>2023</v>
      </c>
      <c r="M1126" s="8" t="s">
        <v>6719</v>
      </c>
      <c r="N1126" s="8" t="s">
        <v>42</v>
      </c>
      <c r="O1126" s="8" t="s">
        <v>189</v>
      </c>
      <c r="P1126" s="6" t="s">
        <v>44</v>
      </c>
      <c r="Q1126" s="8" t="s">
        <v>45</v>
      </c>
      <c r="R1126" s="10" t="s">
        <v>6720</v>
      </c>
      <c r="S1126" s="11"/>
      <c r="T1126" s="6" t="s">
        <v>1080</v>
      </c>
      <c r="U1126" s="24" t="str">
        <f>HYPERLINK("https://media.infra-m.ru/1871/1871165/cover/1871165.jpg", "Обложка")</f>
        <v>Обложка</v>
      </c>
      <c r="V1126" s="24" t="str">
        <f>HYPERLINK("https://znanium.ru/catalog/product/1871165", "Ознакомиться")</f>
        <v>Ознакомиться</v>
      </c>
      <c r="W1126" s="8" t="s">
        <v>6721</v>
      </c>
      <c r="X1126" s="6"/>
      <c r="Y1126" s="6"/>
      <c r="Z1126" s="6"/>
      <c r="AA1126" s="6" t="s">
        <v>119</v>
      </c>
      <c r="AB1126" s="8"/>
    </row>
    <row r="1127" spans="1:28" s="4" customFormat="1" ht="42" customHeight="1">
      <c r="A1127" s="5">
        <v>0</v>
      </c>
      <c r="B1127" s="6" t="s">
        <v>6722</v>
      </c>
      <c r="C1127" s="13">
        <v>924</v>
      </c>
      <c r="D1127" s="8" t="s">
        <v>6723</v>
      </c>
      <c r="E1127" s="8" t="s">
        <v>6724</v>
      </c>
      <c r="F1127" s="8" t="s">
        <v>6725</v>
      </c>
      <c r="G1127" s="6" t="s">
        <v>38</v>
      </c>
      <c r="H1127" s="6" t="s">
        <v>39</v>
      </c>
      <c r="I1127" s="8" t="s">
        <v>40</v>
      </c>
      <c r="J1127" s="9">
        <v>1</v>
      </c>
      <c r="K1127" s="9">
        <v>132</v>
      </c>
      <c r="L1127" s="9">
        <v>2022</v>
      </c>
      <c r="M1127" s="8" t="s">
        <v>6726</v>
      </c>
      <c r="N1127" s="8" t="s">
        <v>42</v>
      </c>
      <c r="O1127" s="8" t="s">
        <v>189</v>
      </c>
      <c r="P1127" s="6" t="s">
        <v>44</v>
      </c>
      <c r="Q1127" s="8" t="s">
        <v>45</v>
      </c>
      <c r="R1127" s="10" t="s">
        <v>1419</v>
      </c>
      <c r="S1127" s="11"/>
      <c r="T1127" s="6"/>
      <c r="U1127" s="24" t="str">
        <f>HYPERLINK("https://media.infra-m.ru/1864/1864970/cover/1864970.jpg", "Обложка")</f>
        <v>Обложка</v>
      </c>
      <c r="V1127" s="24" t="str">
        <f>HYPERLINK("https://znanium.ru/catalog/product/1864970", "Ознакомиться")</f>
        <v>Ознакомиться</v>
      </c>
      <c r="W1127" s="8" t="s">
        <v>6727</v>
      </c>
      <c r="X1127" s="6"/>
      <c r="Y1127" s="6"/>
      <c r="Z1127" s="6"/>
      <c r="AA1127" s="6" t="s">
        <v>199</v>
      </c>
      <c r="AB1127" s="8"/>
    </row>
    <row r="1128" spans="1:28" s="4" customFormat="1" ht="44.1" customHeight="1">
      <c r="A1128" s="5">
        <v>0</v>
      </c>
      <c r="B1128" s="6" t="s">
        <v>6728</v>
      </c>
      <c r="C1128" s="7">
        <v>1097.9000000000001</v>
      </c>
      <c r="D1128" s="8" t="s">
        <v>6729</v>
      </c>
      <c r="E1128" s="8" t="s">
        <v>6730</v>
      </c>
      <c r="F1128" s="8" t="s">
        <v>6731</v>
      </c>
      <c r="G1128" s="6" t="s">
        <v>132</v>
      </c>
      <c r="H1128" s="6" t="s">
        <v>39</v>
      </c>
      <c r="I1128" s="8" t="s">
        <v>40</v>
      </c>
      <c r="J1128" s="9">
        <v>1</v>
      </c>
      <c r="K1128" s="9">
        <v>203</v>
      </c>
      <c r="L1128" s="9">
        <v>2023</v>
      </c>
      <c r="M1128" s="8" t="s">
        <v>6732</v>
      </c>
      <c r="N1128" s="8" t="s">
        <v>42</v>
      </c>
      <c r="O1128" s="8" t="s">
        <v>189</v>
      </c>
      <c r="P1128" s="6" t="s">
        <v>44</v>
      </c>
      <c r="Q1128" s="8" t="s">
        <v>45</v>
      </c>
      <c r="R1128" s="10" t="s">
        <v>6292</v>
      </c>
      <c r="S1128" s="11"/>
      <c r="T1128" s="6"/>
      <c r="U1128" s="24" t="str">
        <f>HYPERLINK("https://media.infra-m.ru/1893/1893858/cover/1893858.jpg", "Обложка")</f>
        <v>Обложка</v>
      </c>
      <c r="V1128" s="24" t="str">
        <f>HYPERLINK("https://znanium.ru/catalog/product/939352", "Ознакомиться")</f>
        <v>Ознакомиться</v>
      </c>
      <c r="W1128" s="8" t="s">
        <v>5156</v>
      </c>
      <c r="X1128" s="6"/>
      <c r="Y1128" s="6"/>
      <c r="Z1128" s="6"/>
      <c r="AA1128" s="6" t="s">
        <v>68</v>
      </c>
      <c r="AB1128" s="8"/>
    </row>
    <row r="1129" spans="1:28" s="4" customFormat="1" ht="51.95" customHeight="1">
      <c r="A1129" s="5">
        <v>0</v>
      </c>
      <c r="B1129" s="6" t="s">
        <v>6733</v>
      </c>
      <c r="C1129" s="7">
        <v>1464</v>
      </c>
      <c r="D1129" s="8" t="s">
        <v>6734</v>
      </c>
      <c r="E1129" s="8" t="s">
        <v>6735</v>
      </c>
      <c r="F1129" s="8" t="s">
        <v>6736</v>
      </c>
      <c r="G1129" s="6" t="s">
        <v>38</v>
      </c>
      <c r="H1129" s="6" t="s">
        <v>39</v>
      </c>
      <c r="I1129" s="8" t="s">
        <v>40</v>
      </c>
      <c r="J1129" s="9">
        <v>1</v>
      </c>
      <c r="K1129" s="9">
        <v>270</v>
      </c>
      <c r="L1129" s="9">
        <v>2020</v>
      </c>
      <c r="M1129" s="8" t="s">
        <v>6737</v>
      </c>
      <c r="N1129" s="8" t="s">
        <v>42</v>
      </c>
      <c r="O1129" s="8" t="s">
        <v>189</v>
      </c>
      <c r="P1129" s="6" t="s">
        <v>44</v>
      </c>
      <c r="Q1129" s="8" t="s">
        <v>45</v>
      </c>
      <c r="R1129" s="10" t="s">
        <v>6738</v>
      </c>
      <c r="S1129" s="11"/>
      <c r="T1129" s="6"/>
      <c r="U1129" s="24" t="str">
        <f>HYPERLINK("https://media.infra-m.ru/1044/1044518/cover/1044518.jpg", "Обложка")</f>
        <v>Обложка</v>
      </c>
      <c r="V1129" s="24" t="str">
        <f>HYPERLINK("https://znanium.ru/catalog/product/1044518", "Ознакомиться")</f>
        <v>Ознакомиться</v>
      </c>
      <c r="W1129" s="8"/>
      <c r="X1129" s="6"/>
      <c r="Y1129" s="6"/>
      <c r="Z1129" s="6"/>
      <c r="AA1129" s="6" t="s">
        <v>48</v>
      </c>
      <c r="AB1129" s="8"/>
    </row>
    <row r="1130" spans="1:28" s="4" customFormat="1" ht="51.95" customHeight="1">
      <c r="A1130" s="5">
        <v>0</v>
      </c>
      <c r="B1130" s="6" t="s">
        <v>6739</v>
      </c>
      <c r="C1130" s="13">
        <v>672</v>
      </c>
      <c r="D1130" s="8" t="s">
        <v>6740</v>
      </c>
      <c r="E1130" s="8" t="s">
        <v>6741</v>
      </c>
      <c r="F1130" s="8" t="s">
        <v>6742</v>
      </c>
      <c r="G1130" s="6" t="s">
        <v>38</v>
      </c>
      <c r="H1130" s="6" t="s">
        <v>39</v>
      </c>
      <c r="I1130" s="8" t="s">
        <v>40</v>
      </c>
      <c r="J1130" s="9">
        <v>1</v>
      </c>
      <c r="K1130" s="9">
        <v>125</v>
      </c>
      <c r="L1130" s="9">
        <v>2022</v>
      </c>
      <c r="M1130" s="8" t="s">
        <v>6743</v>
      </c>
      <c r="N1130" s="8" t="s">
        <v>54</v>
      </c>
      <c r="O1130" s="8" t="s">
        <v>55</v>
      </c>
      <c r="P1130" s="6" t="s">
        <v>44</v>
      </c>
      <c r="Q1130" s="8" t="s">
        <v>45</v>
      </c>
      <c r="R1130" s="10" t="s">
        <v>6744</v>
      </c>
      <c r="S1130" s="11"/>
      <c r="T1130" s="6"/>
      <c r="U1130" s="24" t="str">
        <f>HYPERLINK("https://media.infra-m.ru/1851/1851553/cover/1851553.jpg", "Обложка")</f>
        <v>Обложка</v>
      </c>
      <c r="V1130" s="24" t="str">
        <f>HYPERLINK("https://znanium.ru/catalog/product/1851553", "Ознакомиться")</f>
        <v>Ознакомиться</v>
      </c>
      <c r="W1130" s="8"/>
      <c r="X1130" s="6"/>
      <c r="Y1130" s="6"/>
      <c r="Z1130" s="6"/>
      <c r="AA1130" s="6" t="s">
        <v>111</v>
      </c>
      <c r="AB1130" s="8"/>
    </row>
    <row r="1131" spans="1:28" s="4" customFormat="1" ht="42" customHeight="1">
      <c r="A1131" s="5">
        <v>0</v>
      </c>
      <c r="B1131" s="6" t="s">
        <v>6745</v>
      </c>
      <c r="C1131" s="7">
        <v>1524</v>
      </c>
      <c r="D1131" s="8" t="s">
        <v>6746</v>
      </c>
      <c r="E1131" s="8" t="s">
        <v>6747</v>
      </c>
      <c r="F1131" s="8" t="s">
        <v>6748</v>
      </c>
      <c r="G1131" s="6" t="s">
        <v>81</v>
      </c>
      <c r="H1131" s="6" t="s">
        <v>39</v>
      </c>
      <c r="I1131" s="8" t="s">
        <v>40</v>
      </c>
      <c r="J1131" s="9">
        <v>1</v>
      </c>
      <c r="K1131" s="9">
        <v>277</v>
      </c>
      <c r="L1131" s="9">
        <v>2024</v>
      </c>
      <c r="M1131" s="8" t="s">
        <v>6749</v>
      </c>
      <c r="N1131" s="8" t="s">
        <v>220</v>
      </c>
      <c r="O1131" s="8" t="s">
        <v>296</v>
      </c>
      <c r="P1131" s="6" t="s">
        <v>44</v>
      </c>
      <c r="Q1131" s="8" t="s">
        <v>45</v>
      </c>
      <c r="R1131" s="10" t="s">
        <v>6750</v>
      </c>
      <c r="S1131" s="11"/>
      <c r="T1131" s="6"/>
      <c r="U1131" s="24" t="str">
        <f>HYPERLINK("https://media.infra-m.ru/2098/2098552/cover/2098552.jpg", "Обложка")</f>
        <v>Обложка</v>
      </c>
      <c r="V1131" s="24" t="str">
        <f>HYPERLINK("https://znanium.ru/catalog/product/2098552", "Ознакомиться")</f>
        <v>Ознакомиться</v>
      </c>
      <c r="W1131" s="8" t="s">
        <v>4690</v>
      </c>
      <c r="X1131" s="6"/>
      <c r="Y1131" s="6"/>
      <c r="Z1131" s="6"/>
      <c r="AA1131" s="6" t="s">
        <v>111</v>
      </c>
      <c r="AB1131" s="8" t="s">
        <v>5038</v>
      </c>
    </row>
    <row r="1132" spans="1:28" s="4" customFormat="1" ht="42" customHeight="1">
      <c r="A1132" s="5">
        <v>0</v>
      </c>
      <c r="B1132" s="6" t="s">
        <v>6751</v>
      </c>
      <c r="C1132" s="7">
        <v>1836</v>
      </c>
      <c r="D1132" s="8" t="s">
        <v>6752</v>
      </c>
      <c r="E1132" s="8" t="s">
        <v>6753</v>
      </c>
      <c r="F1132" s="8" t="s">
        <v>6754</v>
      </c>
      <c r="G1132" s="6" t="s">
        <v>81</v>
      </c>
      <c r="H1132" s="6" t="s">
        <v>39</v>
      </c>
      <c r="I1132" s="8" t="s">
        <v>40</v>
      </c>
      <c r="J1132" s="9">
        <v>1</v>
      </c>
      <c r="K1132" s="9">
        <v>306</v>
      </c>
      <c r="L1132" s="9">
        <v>2024</v>
      </c>
      <c r="M1132" s="8" t="s">
        <v>6755</v>
      </c>
      <c r="N1132" s="8" t="s">
        <v>54</v>
      </c>
      <c r="O1132" s="8" t="s">
        <v>140</v>
      </c>
      <c r="P1132" s="6" t="s">
        <v>44</v>
      </c>
      <c r="Q1132" s="8" t="s">
        <v>45</v>
      </c>
      <c r="R1132" s="10" t="s">
        <v>6756</v>
      </c>
      <c r="S1132" s="11"/>
      <c r="T1132" s="6"/>
      <c r="U1132" s="24" t="str">
        <f>HYPERLINK("https://media.infra-m.ru/2134/2134939/cover/2134939.jpg", "Обложка")</f>
        <v>Обложка</v>
      </c>
      <c r="V1132" s="24" t="str">
        <f>HYPERLINK("https://znanium.ru/catalog/product/2134939", "Ознакомиться")</f>
        <v>Ознакомиться</v>
      </c>
      <c r="W1132" s="8" t="s">
        <v>817</v>
      </c>
      <c r="X1132" s="6"/>
      <c r="Y1132" s="6"/>
      <c r="Z1132" s="6"/>
      <c r="AA1132" s="6" t="s">
        <v>339</v>
      </c>
      <c r="AB1132" s="8"/>
    </row>
    <row r="1133" spans="1:28" s="4" customFormat="1" ht="51.95" customHeight="1">
      <c r="A1133" s="5">
        <v>0</v>
      </c>
      <c r="B1133" s="6" t="s">
        <v>6757</v>
      </c>
      <c r="C1133" s="13">
        <v>996</v>
      </c>
      <c r="D1133" s="8" t="s">
        <v>6758</v>
      </c>
      <c r="E1133" s="8" t="s">
        <v>6759</v>
      </c>
      <c r="F1133" s="8" t="s">
        <v>6760</v>
      </c>
      <c r="G1133" s="6" t="s">
        <v>38</v>
      </c>
      <c r="H1133" s="6" t="s">
        <v>39</v>
      </c>
      <c r="I1133" s="8" t="s">
        <v>40</v>
      </c>
      <c r="J1133" s="9">
        <v>1</v>
      </c>
      <c r="K1133" s="9">
        <v>242</v>
      </c>
      <c r="L1133" s="9">
        <v>2018</v>
      </c>
      <c r="M1133" s="8" t="s">
        <v>6761</v>
      </c>
      <c r="N1133" s="8" t="s">
        <v>220</v>
      </c>
      <c r="O1133" s="8" t="s">
        <v>1250</v>
      </c>
      <c r="P1133" s="6" t="s">
        <v>44</v>
      </c>
      <c r="Q1133" s="8" t="s">
        <v>45</v>
      </c>
      <c r="R1133" s="10" t="s">
        <v>6762</v>
      </c>
      <c r="S1133" s="11"/>
      <c r="T1133" s="6" t="s">
        <v>1080</v>
      </c>
      <c r="U1133" s="24" t="str">
        <f>HYPERLINK("https://media.infra-m.ru/0961/0961783/cover/961783.jpg", "Обложка")</f>
        <v>Обложка</v>
      </c>
      <c r="V1133" s="24" t="str">
        <f>HYPERLINK("https://znanium.ru/catalog/product/961783", "Ознакомиться")</f>
        <v>Ознакомиться</v>
      </c>
      <c r="W1133" s="8" t="s">
        <v>191</v>
      </c>
      <c r="X1133" s="6"/>
      <c r="Y1133" s="6"/>
      <c r="Z1133" s="6"/>
      <c r="AA1133" s="6" t="s">
        <v>68</v>
      </c>
      <c r="AB1133" s="8"/>
    </row>
    <row r="1134" spans="1:28" s="4" customFormat="1" ht="51.95" customHeight="1">
      <c r="A1134" s="5">
        <v>0</v>
      </c>
      <c r="B1134" s="6" t="s">
        <v>6763</v>
      </c>
      <c r="C1134" s="7">
        <v>1764</v>
      </c>
      <c r="D1134" s="8" t="s">
        <v>6764</v>
      </c>
      <c r="E1134" s="8" t="s">
        <v>6765</v>
      </c>
      <c r="F1134" s="8" t="s">
        <v>6766</v>
      </c>
      <c r="G1134" s="6" t="s">
        <v>132</v>
      </c>
      <c r="H1134" s="6" t="s">
        <v>39</v>
      </c>
      <c r="I1134" s="8" t="s">
        <v>40</v>
      </c>
      <c r="J1134" s="9">
        <v>1</v>
      </c>
      <c r="K1134" s="9">
        <v>293</v>
      </c>
      <c r="L1134" s="9">
        <v>2025</v>
      </c>
      <c r="M1134" s="8" t="s">
        <v>6767</v>
      </c>
      <c r="N1134" s="8" t="s">
        <v>54</v>
      </c>
      <c r="O1134" s="8" t="s">
        <v>2811</v>
      </c>
      <c r="P1134" s="6" t="s">
        <v>44</v>
      </c>
      <c r="Q1134" s="8" t="s">
        <v>45</v>
      </c>
      <c r="R1134" s="10" t="s">
        <v>6768</v>
      </c>
      <c r="S1134" s="11"/>
      <c r="T1134" s="6"/>
      <c r="U1134" s="24" t="str">
        <f>HYPERLINK("https://media.infra-m.ru/2141/2141618/cover/2141618.jpg", "Обложка")</f>
        <v>Обложка</v>
      </c>
      <c r="V1134" s="24" t="str">
        <f>HYPERLINK("https://znanium.ru/catalog/product/2141618", "Ознакомиться")</f>
        <v>Ознакомиться</v>
      </c>
      <c r="W1134" s="8" t="s">
        <v>149</v>
      </c>
      <c r="X1134" s="6"/>
      <c r="Y1134" s="6"/>
      <c r="Z1134" s="6"/>
      <c r="AA1134" s="6" t="s">
        <v>159</v>
      </c>
      <c r="AB1134" s="8"/>
    </row>
    <row r="1135" spans="1:28" s="4" customFormat="1" ht="42" customHeight="1">
      <c r="A1135" s="5">
        <v>0</v>
      </c>
      <c r="B1135" s="6" t="s">
        <v>6769</v>
      </c>
      <c r="C1135" s="7">
        <v>1672.8</v>
      </c>
      <c r="D1135" s="8" t="s">
        <v>6770</v>
      </c>
      <c r="E1135" s="8" t="s">
        <v>6771</v>
      </c>
      <c r="F1135" s="8" t="s">
        <v>3064</v>
      </c>
      <c r="G1135" s="6" t="s">
        <v>81</v>
      </c>
      <c r="H1135" s="6" t="s">
        <v>39</v>
      </c>
      <c r="I1135" s="8" t="s">
        <v>3065</v>
      </c>
      <c r="J1135" s="9">
        <v>1</v>
      </c>
      <c r="K1135" s="9">
        <v>267</v>
      </c>
      <c r="L1135" s="9">
        <v>2025</v>
      </c>
      <c r="M1135" s="8" t="s">
        <v>6772</v>
      </c>
      <c r="N1135" s="8" t="s">
        <v>42</v>
      </c>
      <c r="O1135" s="8" t="s">
        <v>65</v>
      </c>
      <c r="P1135" s="6" t="s">
        <v>2307</v>
      </c>
      <c r="Q1135" s="8" t="s">
        <v>45</v>
      </c>
      <c r="R1135" s="10" t="s">
        <v>6773</v>
      </c>
      <c r="S1135" s="11"/>
      <c r="T1135" s="6"/>
      <c r="U1135" s="24" t="str">
        <f>HYPERLINK("https://media.infra-m.ru/2217/2217138/cover/2217138.jpg", "Обложка")</f>
        <v>Обложка</v>
      </c>
      <c r="V1135" s="24" t="str">
        <f>HYPERLINK("https://znanium.ru/catalog/product/2211467", "Ознакомиться")</f>
        <v>Ознакомиться</v>
      </c>
      <c r="W1135" s="8" t="s">
        <v>3068</v>
      </c>
      <c r="X1135" s="6"/>
      <c r="Y1135" s="6"/>
      <c r="Z1135" s="6"/>
      <c r="AA1135" s="6" t="s">
        <v>339</v>
      </c>
      <c r="AB1135" s="8"/>
    </row>
    <row r="1136" spans="1:28" s="4" customFormat="1" ht="44.1" customHeight="1">
      <c r="A1136" s="5">
        <v>0</v>
      </c>
      <c r="B1136" s="6" t="s">
        <v>6774</v>
      </c>
      <c r="C1136" s="7">
        <v>1392</v>
      </c>
      <c r="D1136" s="8" t="s">
        <v>6775</v>
      </c>
      <c r="E1136" s="8" t="s">
        <v>6776</v>
      </c>
      <c r="F1136" s="8"/>
      <c r="G1136" s="6" t="s">
        <v>38</v>
      </c>
      <c r="H1136" s="6" t="s">
        <v>39</v>
      </c>
      <c r="I1136" s="8" t="s">
        <v>1893</v>
      </c>
      <c r="J1136" s="9">
        <v>1</v>
      </c>
      <c r="K1136" s="9">
        <v>232</v>
      </c>
      <c r="L1136" s="9">
        <v>2025</v>
      </c>
      <c r="M1136" s="8" t="s">
        <v>6777</v>
      </c>
      <c r="N1136" s="8" t="s">
        <v>42</v>
      </c>
      <c r="O1136" s="8" t="s">
        <v>1315</v>
      </c>
      <c r="P1136" s="6" t="s">
        <v>6778</v>
      </c>
      <c r="Q1136" s="8" t="s">
        <v>287</v>
      </c>
      <c r="R1136" s="10" t="s">
        <v>6779</v>
      </c>
      <c r="S1136" s="11"/>
      <c r="T1136" s="6"/>
      <c r="U1136" s="24" t="str">
        <f>HYPERLINK("https://media.infra-m.ru/2187/2187825/cover/2187825.jpg", "Обложка")</f>
        <v>Обложка</v>
      </c>
      <c r="V1136" s="24" t="str">
        <f>HYPERLINK("https://znanium.ru/catalog/product/2187825", "Ознакомиться")</f>
        <v>Ознакомиться</v>
      </c>
      <c r="W1136" s="8"/>
      <c r="X1136" s="6"/>
      <c r="Y1136" s="6"/>
      <c r="Z1136" s="6"/>
      <c r="AA1136" s="6" t="s">
        <v>119</v>
      </c>
      <c r="AB1136" s="8"/>
    </row>
    <row r="1137" spans="1:28" s="4" customFormat="1" ht="42" customHeight="1">
      <c r="A1137" s="5">
        <v>0</v>
      </c>
      <c r="B1137" s="6" t="s">
        <v>6780</v>
      </c>
      <c r="C1137" s="7">
        <v>1704</v>
      </c>
      <c r="D1137" s="8" t="s">
        <v>6781</v>
      </c>
      <c r="E1137" s="8" t="s">
        <v>6782</v>
      </c>
      <c r="F1137" s="8" t="s">
        <v>6783</v>
      </c>
      <c r="G1137" s="6" t="s">
        <v>38</v>
      </c>
      <c r="H1137" s="6" t="s">
        <v>39</v>
      </c>
      <c r="I1137" s="8" t="s">
        <v>40</v>
      </c>
      <c r="J1137" s="9">
        <v>1</v>
      </c>
      <c r="K1137" s="9">
        <v>373</v>
      </c>
      <c r="L1137" s="9">
        <v>2022</v>
      </c>
      <c r="M1137" s="8" t="s">
        <v>6784</v>
      </c>
      <c r="N1137" s="8" t="s">
        <v>220</v>
      </c>
      <c r="O1137" s="8" t="s">
        <v>221</v>
      </c>
      <c r="P1137" s="6" t="s">
        <v>44</v>
      </c>
      <c r="Q1137" s="8" t="s">
        <v>45</v>
      </c>
      <c r="R1137" s="10" t="s">
        <v>6785</v>
      </c>
      <c r="S1137" s="11"/>
      <c r="T1137" s="6"/>
      <c r="U1137" s="24" t="str">
        <f>HYPERLINK("https://media.infra-m.ru/1831/1831655/cover/1831655.jpg", "Обложка")</f>
        <v>Обложка</v>
      </c>
      <c r="V1137" s="24" t="str">
        <f>HYPERLINK("https://znanium.ru/catalog/product/1831655", "Ознакомиться")</f>
        <v>Ознакомиться</v>
      </c>
      <c r="W1137" s="8" t="s">
        <v>6786</v>
      </c>
      <c r="X1137" s="6"/>
      <c r="Y1137" s="6"/>
      <c r="Z1137" s="6"/>
      <c r="AA1137" s="6" t="s">
        <v>111</v>
      </c>
      <c r="AB1137" s="8"/>
    </row>
    <row r="1138" spans="1:28" s="4" customFormat="1" ht="42" customHeight="1">
      <c r="A1138" s="5">
        <v>0</v>
      </c>
      <c r="B1138" s="6" t="s">
        <v>6787</v>
      </c>
      <c r="C1138" s="7">
        <v>1020</v>
      </c>
      <c r="D1138" s="8" t="s">
        <v>6788</v>
      </c>
      <c r="E1138" s="8" t="s">
        <v>6789</v>
      </c>
      <c r="F1138" s="8" t="s">
        <v>6790</v>
      </c>
      <c r="G1138" s="6" t="s">
        <v>38</v>
      </c>
      <c r="H1138" s="6" t="s">
        <v>39</v>
      </c>
      <c r="I1138" s="8" t="s">
        <v>164</v>
      </c>
      <c r="J1138" s="9">
        <v>1</v>
      </c>
      <c r="K1138" s="9">
        <v>182</v>
      </c>
      <c r="L1138" s="9">
        <v>2024</v>
      </c>
      <c r="M1138" s="8" t="s">
        <v>6791</v>
      </c>
      <c r="N1138" s="8" t="s">
        <v>284</v>
      </c>
      <c r="O1138" s="8" t="s">
        <v>383</v>
      </c>
      <c r="P1138" s="6" t="s">
        <v>44</v>
      </c>
      <c r="Q1138" s="8" t="s">
        <v>45</v>
      </c>
      <c r="R1138" s="10" t="s">
        <v>6792</v>
      </c>
      <c r="S1138" s="11"/>
      <c r="T1138" s="6"/>
      <c r="U1138" s="24" t="str">
        <f>HYPERLINK("https://media.infra-m.ru/2061/2061359/cover/2061359.jpg", "Обложка")</f>
        <v>Обложка</v>
      </c>
      <c r="V1138" s="24" t="str">
        <f>HYPERLINK("https://znanium.ru/catalog/product/2061359", "Ознакомиться")</f>
        <v>Ознакомиться</v>
      </c>
      <c r="W1138" s="8" t="s">
        <v>167</v>
      </c>
      <c r="X1138" s="6"/>
      <c r="Y1138" s="6"/>
      <c r="Z1138" s="6"/>
      <c r="AA1138" s="6" t="s">
        <v>168</v>
      </c>
      <c r="AB1138" s="8"/>
    </row>
    <row r="1139" spans="1:28" s="4" customFormat="1" ht="44.1" customHeight="1">
      <c r="A1139" s="5">
        <v>0</v>
      </c>
      <c r="B1139" s="6" t="s">
        <v>6793</v>
      </c>
      <c r="C1139" s="13">
        <v>804</v>
      </c>
      <c r="D1139" s="8" t="s">
        <v>6794</v>
      </c>
      <c r="E1139" s="8" t="s">
        <v>6795</v>
      </c>
      <c r="F1139" s="8" t="s">
        <v>6796</v>
      </c>
      <c r="G1139" s="6" t="s">
        <v>38</v>
      </c>
      <c r="H1139" s="6" t="s">
        <v>39</v>
      </c>
      <c r="I1139" s="8" t="s">
        <v>40</v>
      </c>
      <c r="J1139" s="9">
        <v>1</v>
      </c>
      <c r="K1139" s="9">
        <v>145</v>
      </c>
      <c r="L1139" s="9">
        <v>2024</v>
      </c>
      <c r="M1139" s="8" t="s">
        <v>6797</v>
      </c>
      <c r="N1139" s="8" t="s">
        <v>229</v>
      </c>
      <c r="O1139" s="8" t="s">
        <v>230</v>
      </c>
      <c r="P1139" s="6" t="s">
        <v>44</v>
      </c>
      <c r="Q1139" s="8" t="s">
        <v>45</v>
      </c>
      <c r="R1139" s="10" t="s">
        <v>6798</v>
      </c>
      <c r="S1139" s="11"/>
      <c r="T1139" s="6"/>
      <c r="U1139" s="24" t="str">
        <f>HYPERLINK("https://media.infra-m.ru/2096/2096823/cover/2096823.jpg", "Обложка")</f>
        <v>Обложка</v>
      </c>
      <c r="V1139" s="24" t="str">
        <f>HYPERLINK("https://znanium.ru/catalog/product/2096823", "Ознакомиться")</f>
        <v>Ознакомиться</v>
      </c>
      <c r="W1139" s="8" t="s">
        <v>6799</v>
      </c>
      <c r="X1139" s="6"/>
      <c r="Y1139" s="6"/>
      <c r="Z1139" s="6"/>
      <c r="AA1139" s="6" t="s">
        <v>68</v>
      </c>
      <c r="AB1139" s="8"/>
    </row>
    <row r="1140" spans="1:28" s="4" customFormat="1" ht="42" customHeight="1">
      <c r="A1140" s="5">
        <v>0</v>
      </c>
      <c r="B1140" s="6" t="s">
        <v>6800</v>
      </c>
      <c r="C1140" s="7">
        <v>1644</v>
      </c>
      <c r="D1140" s="8" t="s">
        <v>6801</v>
      </c>
      <c r="E1140" s="8" t="s">
        <v>6802</v>
      </c>
      <c r="F1140" s="8" t="s">
        <v>6803</v>
      </c>
      <c r="G1140" s="6" t="s">
        <v>132</v>
      </c>
      <c r="H1140" s="6" t="s">
        <v>39</v>
      </c>
      <c r="I1140" s="8" t="s">
        <v>40</v>
      </c>
      <c r="J1140" s="9">
        <v>1</v>
      </c>
      <c r="K1140" s="9">
        <v>290</v>
      </c>
      <c r="L1140" s="9">
        <v>2024</v>
      </c>
      <c r="M1140" s="8" t="s">
        <v>6804</v>
      </c>
      <c r="N1140" s="8" t="s">
        <v>42</v>
      </c>
      <c r="O1140" s="8" t="s">
        <v>101</v>
      </c>
      <c r="P1140" s="6" t="s">
        <v>44</v>
      </c>
      <c r="Q1140" s="8" t="s">
        <v>45</v>
      </c>
      <c r="R1140" s="10" t="s">
        <v>269</v>
      </c>
      <c r="S1140" s="11"/>
      <c r="T1140" s="6"/>
      <c r="U1140" s="24" t="str">
        <f>HYPERLINK("https://media.infra-m.ru/2074/2074248/cover/2074248.jpg", "Обложка")</f>
        <v>Обложка</v>
      </c>
      <c r="V1140" s="24" t="str">
        <f>HYPERLINK("https://znanium.ru/catalog/product/2074248", "Ознакомиться")</f>
        <v>Ознакомиться</v>
      </c>
      <c r="W1140" s="8" t="s">
        <v>6805</v>
      </c>
      <c r="X1140" s="6"/>
      <c r="Y1140" s="6"/>
      <c r="Z1140" s="6"/>
      <c r="AA1140" s="6" t="s">
        <v>58</v>
      </c>
      <c r="AB1140" s="8"/>
    </row>
    <row r="1141" spans="1:28" s="4" customFormat="1" ht="44.1" customHeight="1">
      <c r="A1141" s="5">
        <v>0</v>
      </c>
      <c r="B1141" s="6" t="s">
        <v>6806</v>
      </c>
      <c r="C1141" s="7">
        <v>1068</v>
      </c>
      <c r="D1141" s="8" t="s">
        <v>6807</v>
      </c>
      <c r="E1141" s="8" t="s">
        <v>6808</v>
      </c>
      <c r="F1141" s="8" t="s">
        <v>6809</v>
      </c>
      <c r="G1141" s="6" t="s">
        <v>132</v>
      </c>
      <c r="H1141" s="6" t="s">
        <v>39</v>
      </c>
      <c r="I1141" s="8" t="s">
        <v>336</v>
      </c>
      <c r="J1141" s="9">
        <v>1</v>
      </c>
      <c r="K1141" s="9">
        <v>184</v>
      </c>
      <c r="L1141" s="9">
        <v>2023</v>
      </c>
      <c r="M1141" s="8" t="s">
        <v>6810</v>
      </c>
      <c r="N1141" s="8" t="s">
        <v>42</v>
      </c>
      <c r="O1141" s="8" t="s">
        <v>101</v>
      </c>
      <c r="P1141" s="6" t="s">
        <v>268</v>
      </c>
      <c r="Q1141" s="8" t="s">
        <v>45</v>
      </c>
      <c r="R1141" s="10" t="s">
        <v>6811</v>
      </c>
      <c r="S1141" s="11"/>
      <c r="T1141" s="6"/>
      <c r="U1141" s="24" t="str">
        <f>HYPERLINK("https://media.infra-m.ru/1913/1913257/cover/1913257.jpg", "Обложка")</f>
        <v>Обложка</v>
      </c>
      <c r="V1141" s="24" t="str">
        <f>HYPERLINK("https://znanium.ru/catalog/product/1913257", "Ознакомиться")</f>
        <v>Ознакомиться</v>
      </c>
      <c r="W1141" s="8" t="s">
        <v>103</v>
      </c>
      <c r="X1141" s="6"/>
      <c r="Y1141" s="6"/>
      <c r="Z1141" s="6"/>
      <c r="AA1141" s="6" t="s">
        <v>119</v>
      </c>
      <c r="AB1141" s="8"/>
    </row>
    <row r="1142" spans="1:28" s="4" customFormat="1" ht="51.95" customHeight="1">
      <c r="A1142" s="5">
        <v>0</v>
      </c>
      <c r="B1142" s="6" t="s">
        <v>6812</v>
      </c>
      <c r="C1142" s="7">
        <v>1104</v>
      </c>
      <c r="D1142" s="8" t="s">
        <v>6813</v>
      </c>
      <c r="E1142" s="8" t="s">
        <v>6814</v>
      </c>
      <c r="F1142" s="8" t="s">
        <v>6815</v>
      </c>
      <c r="G1142" s="6" t="s">
        <v>132</v>
      </c>
      <c r="H1142" s="6" t="s">
        <v>39</v>
      </c>
      <c r="I1142" s="8" t="s">
        <v>336</v>
      </c>
      <c r="J1142" s="9">
        <v>1</v>
      </c>
      <c r="K1142" s="9">
        <v>192</v>
      </c>
      <c r="L1142" s="9">
        <v>2023</v>
      </c>
      <c r="M1142" s="8" t="s">
        <v>6816</v>
      </c>
      <c r="N1142" s="8" t="s">
        <v>42</v>
      </c>
      <c r="O1142" s="8" t="s">
        <v>101</v>
      </c>
      <c r="P1142" s="6" t="s">
        <v>268</v>
      </c>
      <c r="Q1142" s="8" t="s">
        <v>45</v>
      </c>
      <c r="R1142" s="10" t="s">
        <v>6817</v>
      </c>
      <c r="S1142" s="11"/>
      <c r="T1142" s="6"/>
      <c r="U1142" s="24" t="str">
        <f>HYPERLINK("https://media.infra-m.ru/1913/1913261/cover/1913261.jpg", "Обложка")</f>
        <v>Обложка</v>
      </c>
      <c r="V1142" s="24" t="str">
        <f>HYPERLINK("https://znanium.ru/catalog/product/1913261", "Ознакомиться")</f>
        <v>Ознакомиться</v>
      </c>
      <c r="W1142" s="8" t="s">
        <v>103</v>
      </c>
      <c r="X1142" s="6"/>
      <c r="Y1142" s="6"/>
      <c r="Z1142" s="6"/>
      <c r="AA1142" s="6" t="s">
        <v>119</v>
      </c>
      <c r="AB1142" s="8"/>
    </row>
    <row r="1143" spans="1:28" s="4" customFormat="1" ht="42" customHeight="1">
      <c r="A1143" s="5">
        <v>0</v>
      </c>
      <c r="B1143" s="6" t="s">
        <v>6818</v>
      </c>
      <c r="C1143" s="7">
        <v>1500</v>
      </c>
      <c r="D1143" s="8" t="s">
        <v>6819</v>
      </c>
      <c r="E1143" s="8" t="s">
        <v>6820</v>
      </c>
      <c r="F1143" s="8" t="s">
        <v>6821</v>
      </c>
      <c r="G1143" s="6" t="s">
        <v>38</v>
      </c>
      <c r="H1143" s="6" t="s">
        <v>39</v>
      </c>
      <c r="I1143" s="8" t="s">
        <v>40</v>
      </c>
      <c r="J1143" s="9">
        <v>1</v>
      </c>
      <c r="K1143" s="9">
        <v>279</v>
      </c>
      <c r="L1143" s="9">
        <v>2023</v>
      </c>
      <c r="M1143" s="8" t="s">
        <v>6822</v>
      </c>
      <c r="N1143" s="8" t="s">
        <v>284</v>
      </c>
      <c r="O1143" s="8" t="s">
        <v>482</v>
      </c>
      <c r="P1143" s="6" t="s">
        <v>44</v>
      </c>
      <c r="Q1143" s="8" t="s">
        <v>45</v>
      </c>
      <c r="R1143" s="10" t="s">
        <v>6823</v>
      </c>
      <c r="S1143" s="11"/>
      <c r="T1143" s="6" t="s">
        <v>1080</v>
      </c>
      <c r="U1143" s="24" t="str">
        <f>HYPERLINK("https://media.infra-m.ru/1970/1970297/cover/1970297.jpg", "Обложка")</f>
        <v>Обложка</v>
      </c>
      <c r="V1143" s="24" t="str">
        <f>HYPERLINK("https://znanium.ru/catalog/product/1970297", "Ознакомиться")</f>
        <v>Ознакомиться</v>
      </c>
      <c r="W1143" s="8" t="s">
        <v>1882</v>
      </c>
      <c r="X1143" s="6"/>
      <c r="Y1143" s="6"/>
      <c r="Z1143" s="6"/>
      <c r="AA1143" s="6" t="s">
        <v>76</v>
      </c>
      <c r="AB1143" s="8"/>
    </row>
    <row r="1144" spans="1:28" s="4" customFormat="1" ht="42" customHeight="1">
      <c r="A1144" s="5">
        <v>0</v>
      </c>
      <c r="B1144" s="6" t="s">
        <v>6824</v>
      </c>
      <c r="C1144" s="13">
        <v>900</v>
      </c>
      <c r="D1144" s="8" t="s">
        <v>6825</v>
      </c>
      <c r="E1144" s="8" t="s">
        <v>6826</v>
      </c>
      <c r="F1144" s="8" t="s">
        <v>6827</v>
      </c>
      <c r="G1144" s="6" t="s">
        <v>81</v>
      </c>
      <c r="H1144" s="6" t="s">
        <v>39</v>
      </c>
      <c r="I1144" s="8" t="s">
        <v>40</v>
      </c>
      <c r="J1144" s="9">
        <v>1</v>
      </c>
      <c r="K1144" s="9">
        <v>123</v>
      </c>
      <c r="L1144" s="9">
        <v>2025</v>
      </c>
      <c r="M1144" s="8" t="s">
        <v>6828</v>
      </c>
      <c r="N1144" s="8" t="s">
        <v>284</v>
      </c>
      <c r="O1144" s="8" t="s">
        <v>328</v>
      </c>
      <c r="P1144" s="6" t="s">
        <v>44</v>
      </c>
      <c r="Q1144" s="8" t="s">
        <v>287</v>
      </c>
      <c r="R1144" s="10" t="s">
        <v>6829</v>
      </c>
      <c r="S1144" s="11"/>
      <c r="T1144" s="6"/>
      <c r="U1144" s="24" t="str">
        <f>HYPERLINK("https://media.infra-m.ru/2211/2211117/cover/2211117.jpg", "Обложка")</f>
        <v>Обложка</v>
      </c>
      <c r="V1144" s="24" t="str">
        <f>HYPERLINK("https://znanium.ru/catalog/product/2211117", "Ознакомиться")</f>
        <v>Ознакомиться</v>
      </c>
      <c r="W1144" s="8" t="s">
        <v>2131</v>
      </c>
      <c r="X1144" s="6"/>
      <c r="Y1144" s="6"/>
      <c r="Z1144" s="6"/>
      <c r="AA1144" s="6" t="s">
        <v>119</v>
      </c>
      <c r="AB1144" s="8"/>
    </row>
    <row r="1145" spans="1:28" s="4" customFormat="1" ht="42" customHeight="1">
      <c r="A1145" s="5">
        <v>0</v>
      </c>
      <c r="B1145" s="6" t="s">
        <v>6830</v>
      </c>
      <c r="C1145" s="7">
        <v>1248</v>
      </c>
      <c r="D1145" s="8" t="s">
        <v>6831</v>
      </c>
      <c r="E1145" s="8" t="s">
        <v>6832</v>
      </c>
      <c r="F1145" s="8" t="s">
        <v>6833</v>
      </c>
      <c r="G1145" s="6" t="s">
        <v>38</v>
      </c>
      <c r="H1145" s="6" t="s">
        <v>39</v>
      </c>
      <c r="I1145" s="8" t="s">
        <v>40</v>
      </c>
      <c r="J1145" s="9">
        <v>1</v>
      </c>
      <c r="K1145" s="9">
        <v>208</v>
      </c>
      <c r="L1145" s="9">
        <v>2024</v>
      </c>
      <c r="M1145" s="8" t="s">
        <v>6834</v>
      </c>
      <c r="N1145" s="8" t="s">
        <v>54</v>
      </c>
      <c r="O1145" s="8" t="s">
        <v>91</v>
      </c>
      <c r="P1145" s="6" t="s">
        <v>44</v>
      </c>
      <c r="Q1145" s="8" t="s">
        <v>45</v>
      </c>
      <c r="R1145" s="10" t="s">
        <v>6835</v>
      </c>
      <c r="S1145" s="11"/>
      <c r="T1145" s="6"/>
      <c r="U1145" s="24" t="str">
        <f>HYPERLINK("https://media.infra-m.ru/2010/2010447/cover/2010447.jpg", "Обложка")</f>
        <v>Обложка</v>
      </c>
      <c r="V1145" s="24" t="str">
        <f>HYPERLINK("https://znanium.ru/catalog/product/2010447", "Ознакомиться")</f>
        <v>Ознакомиться</v>
      </c>
      <c r="W1145" s="8" t="s">
        <v>724</v>
      </c>
      <c r="X1145" s="6"/>
      <c r="Y1145" s="6"/>
      <c r="Z1145" s="6"/>
      <c r="AA1145" s="6" t="s">
        <v>58</v>
      </c>
      <c r="AB1145" s="8"/>
    </row>
    <row r="1146" spans="1:28" s="4" customFormat="1" ht="51.95" customHeight="1">
      <c r="A1146" s="5">
        <v>0</v>
      </c>
      <c r="B1146" s="6" t="s">
        <v>6836</v>
      </c>
      <c r="C1146" s="7">
        <v>3964.8</v>
      </c>
      <c r="D1146" s="8" t="s">
        <v>6837</v>
      </c>
      <c r="E1146" s="8" t="s">
        <v>6838</v>
      </c>
      <c r="F1146" s="8" t="s">
        <v>2966</v>
      </c>
      <c r="G1146" s="6" t="s">
        <v>132</v>
      </c>
      <c r="H1146" s="6" t="s">
        <v>99</v>
      </c>
      <c r="I1146" s="8"/>
      <c r="J1146" s="9">
        <v>1</v>
      </c>
      <c r="K1146" s="9">
        <v>656</v>
      </c>
      <c r="L1146" s="9">
        <v>2025</v>
      </c>
      <c r="M1146" s="8" t="s">
        <v>6839</v>
      </c>
      <c r="N1146" s="8" t="s">
        <v>42</v>
      </c>
      <c r="O1146" s="8" t="s">
        <v>101</v>
      </c>
      <c r="P1146" s="6" t="s">
        <v>44</v>
      </c>
      <c r="Q1146" s="8" t="s">
        <v>45</v>
      </c>
      <c r="R1146" s="10" t="s">
        <v>2280</v>
      </c>
      <c r="S1146" s="11"/>
      <c r="T1146" s="6"/>
      <c r="U1146" s="24" t="str">
        <f>HYPERLINK("https://media.infra-m.ru/2208/2208800/cover/2208800.jpg", "Обложка")</f>
        <v>Обложка</v>
      </c>
      <c r="V1146" s="24" t="str">
        <f>HYPERLINK("https://znanium.ru/catalog/product/2156983", "Ознакомиться")</f>
        <v>Ознакомиться</v>
      </c>
      <c r="W1146" s="8"/>
      <c r="X1146" s="6"/>
      <c r="Y1146" s="6"/>
      <c r="Z1146" s="6"/>
      <c r="AA1146" s="6" t="s">
        <v>6840</v>
      </c>
      <c r="AB1146" s="8"/>
    </row>
    <row r="1147" spans="1:28" s="4" customFormat="1" ht="42" customHeight="1">
      <c r="A1147" s="5">
        <v>0</v>
      </c>
      <c r="B1147" s="6" t="s">
        <v>6841</v>
      </c>
      <c r="C1147" s="7">
        <v>2292</v>
      </c>
      <c r="D1147" s="8" t="s">
        <v>6842</v>
      </c>
      <c r="E1147" s="8" t="s">
        <v>6843</v>
      </c>
      <c r="F1147" s="8" t="s">
        <v>1270</v>
      </c>
      <c r="G1147" s="6" t="s">
        <v>38</v>
      </c>
      <c r="H1147" s="6" t="s">
        <v>39</v>
      </c>
      <c r="I1147" s="8" t="s">
        <v>40</v>
      </c>
      <c r="J1147" s="9">
        <v>1</v>
      </c>
      <c r="K1147" s="9">
        <v>414</v>
      </c>
      <c r="L1147" s="9">
        <v>2023</v>
      </c>
      <c r="M1147" s="8" t="s">
        <v>6844</v>
      </c>
      <c r="N1147" s="8" t="s">
        <v>220</v>
      </c>
      <c r="O1147" s="8" t="s">
        <v>296</v>
      </c>
      <c r="P1147" s="6" t="s">
        <v>44</v>
      </c>
      <c r="Q1147" s="8" t="s">
        <v>45</v>
      </c>
      <c r="R1147" s="10" t="s">
        <v>6845</v>
      </c>
      <c r="S1147" s="11"/>
      <c r="T1147" s="6"/>
      <c r="U1147" s="24" t="str">
        <f>HYPERLINK("https://media.infra-m.ru/2125/2125894/cover/2125894.jpg", "Обложка")</f>
        <v>Обложка</v>
      </c>
      <c r="V1147" s="24" t="str">
        <f>HYPERLINK("https://znanium.ru/catalog/product/2125894", "Ознакомиться")</f>
        <v>Ознакомиться</v>
      </c>
      <c r="W1147" s="8" t="s">
        <v>1273</v>
      </c>
      <c r="X1147" s="6"/>
      <c r="Y1147" s="6"/>
      <c r="Z1147" s="6"/>
      <c r="AA1147" s="6" t="s">
        <v>168</v>
      </c>
      <c r="AB1147" s="8"/>
    </row>
    <row r="1148" spans="1:28" s="4" customFormat="1" ht="42" customHeight="1">
      <c r="A1148" s="5">
        <v>0</v>
      </c>
      <c r="B1148" s="6" t="s">
        <v>6846</v>
      </c>
      <c r="C1148" s="7">
        <v>3112.8</v>
      </c>
      <c r="D1148" s="8" t="s">
        <v>6847</v>
      </c>
      <c r="E1148" s="8" t="s">
        <v>6848</v>
      </c>
      <c r="F1148" s="8" t="s">
        <v>6849</v>
      </c>
      <c r="G1148" s="6" t="s">
        <v>38</v>
      </c>
      <c r="H1148" s="6" t="s">
        <v>39</v>
      </c>
      <c r="I1148" s="8" t="s">
        <v>40</v>
      </c>
      <c r="J1148" s="9">
        <v>1</v>
      </c>
      <c r="K1148" s="9">
        <v>471</v>
      </c>
      <c r="L1148" s="9">
        <v>2026</v>
      </c>
      <c r="M1148" s="8" t="s">
        <v>6850</v>
      </c>
      <c r="N1148" s="8" t="s">
        <v>220</v>
      </c>
      <c r="O1148" s="8" t="s">
        <v>474</v>
      </c>
      <c r="P1148" s="6" t="s">
        <v>44</v>
      </c>
      <c r="Q1148" s="8" t="s">
        <v>45</v>
      </c>
      <c r="R1148" s="10" t="s">
        <v>6851</v>
      </c>
      <c r="S1148" s="11"/>
      <c r="T1148" s="6"/>
      <c r="U1148" s="24" t="str">
        <f>HYPERLINK("https://media.infra-m.ru/2226/2226464/cover/2226464.jpg", "Обложка")</f>
        <v>Обложка</v>
      </c>
      <c r="V1148" s="24" t="str">
        <f>HYPERLINK("https://znanium.ru/catalog/product/2123840", "Ознакомиться")</f>
        <v>Ознакомиться</v>
      </c>
      <c r="W1148" s="8"/>
      <c r="X1148" s="6"/>
      <c r="Y1148" s="6"/>
      <c r="Z1148" s="6"/>
      <c r="AA1148" s="6" t="s">
        <v>339</v>
      </c>
      <c r="AB1148" s="8"/>
    </row>
    <row r="1149" spans="1:28" s="4" customFormat="1" ht="42" customHeight="1">
      <c r="A1149" s="5">
        <v>0</v>
      </c>
      <c r="B1149" s="6" t="s">
        <v>6852</v>
      </c>
      <c r="C1149" s="7">
        <v>1512</v>
      </c>
      <c r="D1149" s="8" t="s">
        <v>6853</v>
      </c>
      <c r="E1149" s="8" t="s">
        <v>6854</v>
      </c>
      <c r="F1149" s="8" t="s">
        <v>6855</v>
      </c>
      <c r="G1149" s="6" t="s">
        <v>81</v>
      </c>
      <c r="H1149" s="6" t="s">
        <v>39</v>
      </c>
      <c r="I1149" s="8" t="s">
        <v>40</v>
      </c>
      <c r="J1149" s="9">
        <v>1</v>
      </c>
      <c r="K1149" s="9">
        <v>300</v>
      </c>
      <c r="L1149" s="9">
        <v>2022</v>
      </c>
      <c r="M1149" s="8" t="s">
        <v>6856</v>
      </c>
      <c r="N1149" s="8" t="s">
        <v>220</v>
      </c>
      <c r="O1149" s="8" t="s">
        <v>221</v>
      </c>
      <c r="P1149" s="6" t="s">
        <v>44</v>
      </c>
      <c r="Q1149" s="8" t="s">
        <v>45</v>
      </c>
      <c r="R1149" s="10" t="s">
        <v>6792</v>
      </c>
      <c r="S1149" s="11"/>
      <c r="T1149" s="6"/>
      <c r="U1149" s="24" t="str">
        <f>HYPERLINK("https://media.infra-m.ru/1869/1869668/cover/1869668.jpg", "Обложка")</f>
        <v>Обложка</v>
      </c>
      <c r="V1149" s="24" t="str">
        <f>HYPERLINK("https://znanium.ru/catalog/product/1869668", "Ознакомиться")</f>
        <v>Ознакомиться</v>
      </c>
      <c r="W1149" s="8" t="s">
        <v>6857</v>
      </c>
      <c r="X1149" s="6"/>
      <c r="Y1149" s="6"/>
      <c r="Z1149" s="6"/>
      <c r="AA1149" s="6" t="s">
        <v>76</v>
      </c>
      <c r="AB1149" s="8"/>
    </row>
    <row r="1150" spans="1:28" s="4" customFormat="1" ht="44.1" customHeight="1">
      <c r="A1150" s="5">
        <v>0</v>
      </c>
      <c r="B1150" s="6" t="s">
        <v>6858</v>
      </c>
      <c r="C1150" s="7">
        <v>1428</v>
      </c>
      <c r="D1150" s="8" t="s">
        <v>6859</v>
      </c>
      <c r="E1150" s="8" t="s">
        <v>6860</v>
      </c>
      <c r="F1150" s="8" t="s">
        <v>6265</v>
      </c>
      <c r="G1150" s="6" t="s">
        <v>132</v>
      </c>
      <c r="H1150" s="6" t="s">
        <v>39</v>
      </c>
      <c r="I1150" s="8" t="s">
        <v>40</v>
      </c>
      <c r="J1150" s="9">
        <v>1</v>
      </c>
      <c r="K1150" s="9">
        <v>210</v>
      </c>
      <c r="L1150" s="9">
        <v>2026</v>
      </c>
      <c r="M1150" s="8" t="s">
        <v>6861</v>
      </c>
      <c r="N1150" s="8" t="s">
        <v>54</v>
      </c>
      <c r="O1150" s="8" t="s">
        <v>91</v>
      </c>
      <c r="P1150" s="6" t="s">
        <v>44</v>
      </c>
      <c r="Q1150" s="8" t="s">
        <v>45</v>
      </c>
      <c r="R1150" s="10" t="s">
        <v>6862</v>
      </c>
      <c r="S1150" s="11"/>
      <c r="T1150" s="6"/>
      <c r="U1150" s="24" t="str">
        <f>HYPERLINK("https://media.infra-m.ru/2197/2197057/cover/2197057.jpg", "Обложка")</f>
        <v>Обложка</v>
      </c>
      <c r="V1150" s="24" t="str">
        <f>HYPERLINK("https://znanium.ru/catalog/product/2197057", "Ознакомиться")</f>
        <v>Ознакомиться</v>
      </c>
      <c r="W1150" s="8" t="s">
        <v>6269</v>
      </c>
      <c r="X1150" s="6" t="s">
        <v>838</v>
      </c>
      <c r="Y1150" s="6"/>
      <c r="Z1150" s="6"/>
      <c r="AA1150" s="6" t="s">
        <v>833</v>
      </c>
      <c r="AB1150" s="8"/>
    </row>
    <row r="1151" spans="1:28" s="4" customFormat="1" ht="51.95" customHeight="1">
      <c r="A1151" s="5">
        <v>0</v>
      </c>
      <c r="B1151" s="6" t="s">
        <v>6863</v>
      </c>
      <c r="C1151" s="7">
        <v>3460.8</v>
      </c>
      <c r="D1151" s="8" t="s">
        <v>6864</v>
      </c>
      <c r="E1151" s="8" t="s">
        <v>6865</v>
      </c>
      <c r="F1151" s="8" t="s">
        <v>6866</v>
      </c>
      <c r="G1151" s="6" t="s">
        <v>81</v>
      </c>
      <c r="H1151" s="6" t="s">
        <v>182</v>
      </c>
      <c r="I1151" s="8" t="s">
        <v>3259</v>
      </c>
      <c r="J1151" s="9">
        <v>1</v>
      </c>
      <c r="K1151" s="9">
        <v>578</v>
      </c>
      <c r="L1151" s="9">
        <v>2025</v>
      </c>
      <c r="M1151" s="8" t="s">
        <v>6867</v>
      </c>
      <c r="N1151" s="8" t="s">
        <v>42</v>
      </c>
      <c r="O1151" s="8" t="s">
        <v>101</v>
      </c>
      <c r="P1151" s="6" t="s">
        <v>44</v>
      </c>
      <c r="Q1151" s="8" t="s">
        <v>45</v>
      </c>
      <c r="R1151" s="10" t="s">
        <v>6868</v>
      </c>
      <c r="S1151" s="11"/>
      <c r="T1151" s="6"/>
      <c r="U1151" s="24" t="str">
        <f>HYPERLINK("https://media.infra-m.ru/2172/2172405/cover/2172405.jpg", "Обложка")</f>
        <v>Обложка</v>
      </c>
      <c r="V1151" s="12"/>
      <c r="W1151" s="8" t="s">
        <v>686</v>
      </c>
      <c r="X1151" s="6"/>
      <c r="Y1151" s="6"/>
      <c r="Z1151" s="6"/>
      <c r="AA1151" s="6" t="s">
        <v>199</v>
      </c>
      <c r="AB1151" s="8"/>
    </row>
    <row r="1152" spans="1:28" s="4" customFormat="1" ht="44.1" customHeight="1">
      <c r="A1152" s="5">
        <v>0</v>
      </c>
      <c r="B1152" s="6" t="s">
        <v>6869</v>
      </c>
      <c r="C1152" s="13">
        <v>624</v>
      </c>
      <c r="D1152" s="8" t="s">
        <v>6870</v>
      </c>
      <c r="E1152" s="8" t="s">
        <v>6871</v>
      </c>
      <c r="F1152" s="8" t="s">
        <v>6872</v>
      </c>
      <c r="G1152" s="6" t="s">
        <v>38</v>
      </c>
      <c r="H1152" s="6" t="s">
        <v>99</v>
      </c>
      <c r="I1152" s="8"/>
      <c r="J1152" s="9">
        <v>1</v>
      </c>
      <c r="K1152" s="9">
        <v>64</v>
      </c>
      <c r="L1152" s="9">
        <v>2026</v>
      </c>
      <c r="M1152" s="8" t="s">
        <v>6873</v>
      </c>
      <c r="N1152" s="8" t="s">
        <v>42</v>
      </c>
      <c r="O1152" s="8" t="s">
        <v>43</v>
      </c>
      <c r="P1152" s="6" t="s">
        <v>44</v>
      </c>
      <c r="Q1152" s="8" t="s">
        <v>45</v>
      </c>
      <c r="R1152" s="10" t="s">
        <v>2490</v>
      </c>
      <c r="S1152" s="11"/>
      <c r="T1152" s="6"/>
      <c r="U1152" s="24" t="str">
        <f>HYPERLINK("https://media.infra-m.ru/2215/2215899/cover/2215899.jpg", "Обложка")</f>
        <v>Обложка</v>
      </c>
      <c r="V1152" s="24" t="str">
        <f>HYPERLINK("https://znanium.ru/catalog/product/2215899", "Ознакомиться")</f>
        <v>Ознакомиться</v>
      </c>
      <c r="W1152" s="8" t="s">
        <v>565</v>
      </c>
      <c r="X1152" s="6"/>
      <c r="Y1152" s="6"/>
      <c r="Z1152" s="6"/>
      <c r="AA1152" s="6" t="s">
        <v>199</v>
      </c>
      <c r="AB1152" s="8"/>
    </row>
    <row r="1153" spans="1:28" s="4" customFormat="1" ht="51.95" customHeight="1">
      <c r="A1153" s="5">
        <v>0</v>
      </c>
      <c r="B1153" s="6" t="s">
        <v>6874</v>
      </c>
      <c r="C1153" s="7">
        <v>1200</v>
      </c>
      <c r="D1153" s="8" t="s">
        <v>6875</v>
      </c>
      <c r="E1153" s="8" t="s">
        <v>6876</v>
      </c>
      <c r="F1153" s="8" t="s">
        <v>6877</v>
      </c>
      <c r="G1153" s="6" t="s">
        <v>132</v>
      </c>
      <c r="H1153" s="6" t="s">
        <v>39</v>
      </c>
      <c r="I1153" s="8" t="s">
        <v>40</v>
      </c>
      <c r="J1153" s="9">
        <v>1</v>
      </c>
      <c r="K1153" s="9">
        <v>194</v>
      </c>
      <c r="L1153" s="9">
        <v>2025</v>
      </c>
      <c r="M1153" s="8" t="s">
        <v>6878</v>
      </c>
      <c r="N1153" s="8" t="s">
        <v>42</v>
      </c>
      <c r="O1153" s="8" t="s">
        <v>189</v>
      </c>
      <c r="P1153" s="6" t="s">
        <v>44</v>
      </c>
      <c r="Q1153" s="8" t="s">
        <v>45</v>
      </c>
      <c r="R1153" s="10" t="s">
        <v>6879</v>
      </c>
      <c r="S1153" s="11"/>
      <c r="T1153" s="6"/>
      <c r="U1153" s="24" t="str">
        <f>HYPERLINK("https://media.infra-m.ru/2160/2160987/cover/2160987.jpg", "Обложка")</f>
        <v>Обложка</v>
      </c>
      <c r="V1153" s="24" t="str">
        <f>HYPERLINK("https://znanium.ru/catalog/product/2160987", "Ознакомиться")</f>
        <v>Ознакомиться</v>
      </c>
      <c r="W1153" s="8" t="s">
        <v>6880</v>
      </c>
      <c r="X1153" s="6" t="s">
        <v>1188</v>
      </c>
      <c r="Y1153" s="6"/>
      <c r="Z1153" s="6"/>
      <c r="AA1153" s="6" t="s">
        <v>159</v>
      </c>
      <c r="AB1153" s="8"/>
    </row>
    <row r="1154" spans="1:28" s="4" customFormat="1" ht="42" customHeight="1">
      <c r="A1154" s="5">
        <v>0</v>
      </c>
      <c r="B1154" s="6" t="s">
        <v>6881</v>
      </c>
      <c r="C1154" s="7">
        <v>1192.8</v>
      </c>
      <c r="D1154" s="8" t="s">
        <v>6882</v>
      </c>
      <c r="E1154" s="8" t="s">
        <v>6883</v>
      </c>
      <c r="F1154" s="8" t="s">
        <v>6884</v>
      </c>
      <c r="G1154" s="6" t="s">
        <v>81</v>
      </c>
      <c r="H1154" s="6" t="s">
        <v>39</v>
      </c>
      <c r="I1154" s="8" t="s">
        <v>40</v>
      </c>
      <c r="J1154" s="9">
        <v>1</v>
      </c>
      <c r="K1154" s="9">
        <v>191</v>
      </c>
      <c r="L1154" s="9">
        <v>2025</v>
      </c>
      <c r="M1154" s="8" t="s">
        <v>6885</v>
      </c>
      <c r="N1154" s="8" t="s">
        <v>284</v>
      </c>
      <c r="O1154" s="8" t="s">
        <v>312</v>
      </c>
      <c r="P1154" s="6" t="s">
        <v>44</v>
      </c>
      <c r="Q1154" s="8" t="s">
        <v>45</v>
      </c>
      <c r="R1154" s="10" t="s">
        <v>6886</v>
      </c>
      <c r="S1154" s="11"/>
      <c r="T1154" s="6"/>
      <c r="U1154" s="24" t="str">
        <f>HYPERLINK("https://media.infra-m.ru/2185/2185366/cover/2185366.jpg", "Обложка")</f>
        <v>Обложка</v>
      </c>
      <c r="V1154" s="24" t="str">
        <f>HYPERLINK("https://znanium.ru/catalog/product/1058023", "Ознакомиться")</f>
        <v>Ознакомиться</v>
      </c>
      <c r="W1154" s="8" t="s">
        <v>1362</v>
      </c>
      <c r="X1154" s="6"/>
      <c r="Y1154" s="6"/>
      <c r="Z1154" s="6"/>
      <c r="AA1154" s="6" t="s">
        <v>76</v>
      </c>
      <c r="AB1154" s="8"/>
    </row>
    <row r="1155" spans="1:28" s="4" customFormat="1" ht="42" customHeight="1">
      <c r="A1155" s="5">
        <v>0</v>
      </c>
      <c r="B1155" s="6" t="s">
        <v>6887</v>
      </c>
      <c r="C1155" s="7">
        <v>2117.9</v>
      </c>
      <c r="D1155" s="8" t="s">
        <v>6888</v>
      </c>
      <c r="E1155" s="8" t="s">
        <v>6889</v>
      </c>
      <c r="F1155" s="8" t="s">
        <v>6890</v>
      </c>
      <c r="G1155" s="6" t="s">
        <v>132</v>
      </c>
      <c r="H1155" s="6" t="s">
        <v>39</v>
      </c>
      <c r="I1155" s="8" t="s">
        <v>336</v>
      </c>
      <c r="J1155" s="9">
        <v>1</v>
      </c>
      <c r="K1155" s="9">
        <v>392</v>
      </c>
      <c r="L1155" s="9">
        <v>2023</v>
      </c>
      <c r="M1155" s="8" t="s">
        <v>6891</v>
      </c>
      <c r="N1155" s="8" t="s">
        <v>42</v>
      </c>
      <c r="O1155" s="8" t="s">
        <v>101</v>
      </c>
      <c r="P1155" s="6" t="s">
        <v>44</v>
      </c>
      <c r="Q1155" s="8" t="s">
        <v>45</v>
      </c>
      <c r="R1155" s="10" t="s">
        <v>2946</v>
      </c>
      <c r="S1155" s="11"/>
      <c r="T1155" s="6"/>
      <c r="U1155" s="24" t="str">
        <f>HYPERLINK("https://media.infra-m.ru/2030/2030893/cover/2030893.jpg", "Обложка")</f>
        <v>Обложка</v>
      </c>
      <c r="V1155" s="24" t="str">
        <f>HYPERLINK("https://znanium.ru/catalog/product/999885", "Ознакомиться")</f>
        <v>Ознакомиться</v>
      </c>
      <c r="W1155" s="8" t="s">
        <v>103</v>
      </c>
      <c r="X1155" s="6"/>
      <c r="Y1155" s="6"/>
      <c r="Z1155" s="6"/>
      <c r="AA1155" s="6" t="s">
        <v>76</v>
      </c>
      <c r="AB1155" s="8"/>
    </row>
    <row r="1156" spans="1:28" s="4" customFormat="1" ht="44.1" customHeight="1">
      <c r="A1156" s="5">
        <v>0</v>
      </c>
      <c r="B1156" s="6" t="s">
        <v>6892</v>
      </c>
      <c r="C1156" s="7">
        <v>2544</v>
      </c>
      <c r="D1156" s="8" t="s">
        <v>6893</v>
      </c>
      <c r="E1156" s="8" t="s">
        <v>6894</v>
      </c>
      <c r="F1156" s="8" t="s">
        <v>6895</v>
      </c>
      <c r="G1156" s="6" t="s">
        <v>132</v>
      </c>
      <c r="H1156" s="6" t="s">
        <v>99</v>
      </c>
      <c r="I1156" s="8"/>
      <c r="J1156" s="9">
        <v>1</v>
      </c>
      <c r="K1156" s="9">
        <v>424</v>
      </c>
      <c r="L1156" s="9">
        <v>2025</v>
      </c>
      <c r="M1156" s="8" t="s">
        <v>6896</v>
      </c>
      <c r="N1156" s="8" t="s">
        <v>42</v>
      </c>
      <c r="O1156" s="8" t="s">
        <v>65</v>
      </c>
      <c r="P1156" s="6" t="s">
        <v>44</v>
      </c>
      <c r="Q1156" s="8" t="s">
        <v>607</v>
      </c>
      <c r="R1156" s="10" t="s">
        <v>6897</v>
      </c>
      <c r="S1156" s="11"/>
      <c r="T1156" s="6"/>
      <c r="U1156" s="24" t="str">
        <f>HYPERLINK("https://media.infra-m.ru/2185/2185773/cover/2185773.jpg", "Обложка")</f>
        <v>Обложка</v>
      </c>
      <c r="V1156" s="24" t="str">
        <f>HYPERLINK("https://znanium.ru/catalog/product/2185773", "Ознакомиться")</f>
        <v>Ознакомиться</v>
      </c>
      <c r="W1156" s="8" t="s">
        <v>418</v>
      </c>
      <c r="X1156" s="6" t="s">
        <v>558</v>
      </c>
      <c r="Y1156" s="6"/>
      <c r="Z1156" s="6"/>
      <c r="AA1156" s="6" t="s">
        <v>159</v>
      </c>
      <c r="AB1156" s="8"/>
    </row>
    <row r="1157" spans="1:28" s="4" customFormat="1" ht="51.95" customHeight="1">
      <c r="A1157" s="5">
        <v>0</v>
      </c>
      <c r="B1157" s="6" t="s">
        <v>6898</v>
      </c>
      <c r="C1157" s="7">
        <v>1260</v>
      </c>
      <c r="D1157" s="8" t="s">
        <v>6899</v>
      </c>
      <c r="E1157" s="8" t="s">
        <v>6900</v>
      </c>
      <c r="F1157" s="8" t="s">
        <v>6901</v>
      </c>
      <c r="G1157" s="6" t="s">
        <v>132</v>
      </c>
      <c r="H1157" s="6" t="s">
        <v>99</v>
      </c>
      <c r="I1157" s="8"/>
      <c r="J1157" s="9">
        <v>1</v>
      </c>
      <c r="K1157" s="9">
        <v>208</v>
      </c>
      <c r="L1157" s="9">
        <v>2025</v>
      </c>
      <c r="M1157" s="8" t="s">
        <v>6902</v>
      </c>
      <c r="N1157" s="8" t="s">
        <v>42</v>
      </c>
      <c r="O1157" s="8" t="s">
        <v>101</v>
      </c>
      <c r="P1157" s="6" t="s">
        <v>44</v>
      </c>
      <c r="Q1157" s="8" t="s">
        <v>45</v>
      </c>
      <c r="R1157" s="10" t="s">
        <v>3266</v>
      </c>
      <c r="S1157" s="11"/>
      <c r="T1157" s="6"/>
      <c r="U1157" s="24" t="str">
        <f>HYPERLINK("https://media.infra-m.ru/2162/2162254/cover/2162254.jpg", "Обложка")</f>
        <v>Обложка</v>
      </c>
      <c r="V1157" s="24" t="str">
        <f>HYPERLINK("https://znanium.ru/catalog/product/2162254", "Ознакомиться")</f>
        <v>Ознакомиться</v>
      </c>
      <c r="W1157" s="8" t="s">
        <v>6903</v>
      </c>
      <c r="X1157" s="6"/>
      <c r="Y1157" s="6"/>
      <c r="Z1157" s="6"/>
      <c r="AA1157" s="6" t="s">
        <v>159</v>
      </c>
      <c r="AB1157" s="8"/>
    </row>
    <row r="1158" spans="1:28" s="4" customFormat="1" ht="51.95" customHeight="1">
      <c r="A1158" s="5">
        <v>0</v>
      </c>
      <c r="B1158" s="6" t="s">
        <v>6904</v>
      </c>
      <c r="C1158" s="7">
        <v>1428</v>
      </c>
      <c r="D1158" s="8" t="s">
        <v>6905</v>
      </c>
      <c r="E1158" s="8" t="s">
        <v>6906</v>
      </c>
      <c r="F1158" s="8" t="s">
        <v>6907</v>
      </c>
      <c r="G1158" s="6" t="s">
        <v>132</v>
      </c>
      <c r="H1158" s="6" t="s">
        <v>99</v>
      </c>
      <c r="I1158" s="8"/>
      <c r="J1158" s="9">
        <v>1</v>
      </c>
      <c r="K1158" s="9">
        <v>212</v>
      </c>
      <c r="L1158" s="9">
        <v>2026</v>
      </c>
      <c r="M1158" s="8" t="s">
        <v>6908</v>
      </c>
      <c r="N1158" s="8" t="s">
        <v>42</v>
      </c>
      <c r="O1158" s="8" t="s">
        <v>101</v>
      </c>
      <c r="P1158" s="6" t="s">
        <v>44</v>
      </c>
      <c r="Q1158" s="8" t="s">
        <v>45</v>
      </c>
      <c r="R1158" s="10" t="s">
        <v>6909</v>
      </c>
      <c r="S1158" s="11"/>
      <c r="T1158" s="6"/>
      <c r="U1158" s="24" t="str">
        <f>HYPERLINK("https://media.infra-m.ru/2224/2224211/cover/2224211.jpg", "Обложка")</f>
        <v>Обложка</v>
      </c>
      <c r="V1158" s="12"/>
      <c r="W1158" s="8" t="s">
        <v>6903</v>
      </c>
      <c r="X1158" s="6" t="s">
        <v>1094</v>
      </c>
      <c r="Y1158" s="6"/>
      <c r="Z1158" s="6"/>
      <c r="AA1158" s="6" t="s">
        <v>833</v>
      </c>
      <c r="AB1158" s="8"/>
    </row>
    <row r="1159" spans="1:28" s="4" customFormat="1" ht="51.95" customHeight="1">
      <c r="A1159" s="5">
        <v>0</v>
      </c>
      <c r="B1159" s="6" t="s">
        <v>6910</v>
      </c>
      <c r="C1159" s="13">
        <v>900</v>
      </c>
      <c r="D1159" s="8" t="s">
        <v>6911</v>
      </c>
      <c r="E1159" s="8" t="s">
        <v>6912</v>
      </c>
      <c r="F1159" s="8" t="s">
        <v>6913</v>
      </c>
      <c r="G1159" s="6" t="s">
        <v>38</v>
      </c>
      <c r="H1159" s="6" t="s">
        <v>39</v>
      </c>
      <c r="I1159" s="8" t="s">
        <v>40</v>
      </c>
      <c r="J1159" s="9">
        <v>1</v>
      </c>
      <c r="K1159" s="9">
        <v>192</v>
      </c>
      <c r="L1159" s="9">
        <v>2021</v>
      </c>
      <c r="M1159" s="8" t="s">
        <v>6914</v>
      </c>
      <c r="N1159" s="8" t="s">
        <v>229</v>
      </c>
      <c r="O1159" s="8" t="s">
        <v>230</v>
      </c>
      <c r="P1159" s="6" t="s">
        <v>44</v>
      </c>
      <c r="Q1159" s="8" t="s">
        <v>45</v>
      </c>
      <c r="R1159" s="10" t="s">
        <v>6915</v>
      </c>
      <c r="S1159" s="11"/>
      <c r="T1159" s="6"/>
      <c r="U1159" s="24" t="str">
        <f>HYPERLINK("https://media.infra-m.ru/1371/1371146/cover/1371146.jpg", "Обложка")</f>
        <v>Обложка</v>
      </c>
      <c r="V1159" s="24" t="str">
        <f>HYPERLINK("https://znanium.ru/catalog/product/1371146", "Ознакомиться")</f>
        <v>Ознакомиться</v>
      </c>
      <c r="W1159" s="8" t="s">
        <v>6916</v>
      </c>
      <c r="X1159" s="6"/>
      <c r="Y1159" s="6"/>
      <c r="Z1159" s="6"/>
      <c r="AA1159" s="6" t="s">
        <v>199</v>
      </c>
      <c r="AB1159" s="8"/>
    </row>
    <row r="1160" spans="1:28" s="4" customFormat="1" ht="42" customHeight="1">
      <c r="A1160" s="5">
        <v>0</v>
      </c>
      <c r="B1160" s="6" t="s">
        <v>6917</v>
      </c>
      <c r="C1160" s="7">
        <v>1860</v>
      </c>
      <c r="D1160" s="8" t="s">
        <v>6918</v>
      </c>
      <c r="E1160" s="8" t="s">
        <v>6919</v>
      </c>
      <c r="F1160" s="8" t="s">
        <v>6920</v>
      </c>
      <c r="G1160" s="6" t="s">
        <v>81</v>
      </c>
      <c r="H1160" s="6" t="s">
        <v>99</v>
      </c>
      <c r="I1160" s="8"/>
      <c r="J1160" s="9">
        <v>1</v>
      </c>
      <c r="K1160" s="9">
        <v>344</v>
      </c>
      <c r="L1160" s="9">
        <v>2023</v>
      </c>
      <c r="M1160" s="8" t="s">
        <v>6921</v>
      </c>
      <c r="N1160" s="8" t="s">
        <v>42</v>
      </c>
      <c r="O1160" s="8" t="s">
        <v>101</v>
      </c>
      <c r="P1160" s="6" t="s">
        <v>44</v>
      </c>
      <c r="Q1160" s="8" t="s">
        <v>45</v>
      </c>
      <c r="R1160" s="10" t="s">
        <v>874</v>
      </c>
      <c r="S1160" s="11"/>
      <c r="T1160" s="6"/>
      <c r="U1160" s="24" t="str">
        <f>HYPERLINK("https://media.infra-m.ru/1895/1895642/cover/1895642.jpg", "Обложка")</f>
        <v>Обложка</v>
      </c>
      <c r="V1160" s="24" t="str">
        <f>HYPERLINK("https://znanium.ru/catalog/product/1895642", "Ознакомиться")</f>
        <v>Ознакомиться</v>
      </c>
      <c r="W1160" s="8" t="s">
        <v>565</v>
      </c>
      <c r="X1160" s="6"/>
      <c r="Y1160" s="6"/>
      <c r="Z1160" s="6"/>
      <c r="AA1160" s="6" t="s">
        <v>76</v>
      </c>
      <c r="AB1160" s="8"/>
    </row>
    <row r="1161" spans="1:28" s="4" customFormat="1" ht="42" customHeight="1">
      <c r="A1161" s="5">
        <v>0</v>
      </c>
      <c r="B1161" s="6" t="s">
        <v>6922</v>
      </c>
      <c r="C1161" s="7">
        <v>2574</v>
      </c>
      <c r="D1161" s="8" t="s">
        <v>6923</v>
      </c>
      <c r="E1161" s="8" t="s">
        <v>6924</v>
      </c>
      <c r="F1161" s="8"/>
      <c r="G1161" s="6" t="s">
        <v>38</v>
      </c>
      <c r="H1161" s="6" t="s">
        <v>39</v>
      </c>
      <c r="I1161" s="8"/>
      <c r="J1161" s="9">
        <v>1</v>
      </c>
      <c r="K1161" s="9">
        <v>52</v>
      </c>
      <c r="L1161" s="9">
        <v>2024</v>
      </c>
      <c r="M1161" s="8"/>
      <c r="N1161" s="8" t="s">
        <v>229</v>
      </c>
      <c r="O1161" s="8" t="s">
        <v>230</v>
      </c>
      <c r="P1161" s="6" t="s">
        <v>183</v>
      </c>
      <c r="Q1161" s="8"/>
      <c r="R1161" s="10"/>
      <c r="S1161" s="11"/>
      <c r="T1161" s="6"/>
      <c r="U1161" s="24" t="str">
        <f>HYPERLINK("https://media.infra-m.ru/2081/2081583/cover/2081583.jpg", "Обложка")</f>
        <v>Обложка</v>
      </c>
      <c r="V1161" s="24" t="str">
        <f>HYPERLINK("https://znanium.ru/catalog/product/2174156", "Ознакомиться")</f>
        <v>Ознакомиться</v>
      </c>
      <c r="W1161" s="8"/>
      <c r="X1161" s="6"/>
      <c r="Y1161" s="6"/>
      <c r="Z1161" s="6"/>
      <c r="AA1161" s="6" t="s">
        <v>127</v>
      </c>
      <c r="AB1161" s="8"/>
    </row>
    <row r="1162" spans="1:28" s="4" customFormat="1" ht="42" customHeight="1">
      <c r="A1162" s="5">
        <v>0</v>
      </c>
      <c r="B1162" s="6" t="s">
        <v>6925</v>
      </c>
      <c r="C1162" s="7">
        <v>2574</v>
      </c>
      <c r="D1162" s="8" t="s">
        <v>6926</v>
      </c>
      <c r="E1162" s="8" t="s">
        <v>6927</v>
      </c>
      <c r="F1162" s="8"/>
      <c r="G1162" s="6" t="s">
        <v>38</v>
      </c>
      <c r="H1162" s="6" t="s">
        <v>39</v>
      </c>
      <c r="I1162" s="8"/>
      <c r="J1162" s="9">
        <v>1</v>
      </c>
      <c r="K1162" s="9">
        <v>52</v>
      </c>
      <c r="L1162" s="9">
        <v>2025</v>
      </c>
      <c r="M1162" s="8"/>
      <c r="N1162" s="8" t="s">
        <v>229</v>
      </c>
      <c r="O1162" s="8" t="s">
        <v>230</v>
      </c>
      <c r="P1162" s="6" t="s">
        <v>183</v>
      </c>
      <c r="Q1162" s="8"/>
      <c r="R1162" s="10"/>
      <c r="S1162" s="11"/>
      <c r="T1162" s="6"/>
      <c r="U1162" s="24" t="str">
        <f>HYPERLINK("https://media.infra-m.ru/2174/2174157/cover/2174157.jpg", "Обложка")</f>
        <v>Обложка</v>
      </c>
      <c r="V1162" s="24" t="str">
        <f>HYPERLINK("https://znanium.ru/catalog/product/2174156", "Ознакомиться")</f>
        <v>Ознакомиться</v>
      </c>
      <c r="W1162" s="8"/>
      <c r="X1162" s="6" t="s">
        <v>1094</v>
      </c>
      <c r="Y1162" s="6"/>
      <c r="Z1162" s="6"/>
      <c r="AA1162" s="6" t="s">
        <v>6928</v>
      </c>
      <c r="AB1162" s="8"/>
    </row>
    <row r="1163" spans="1:28" s="4" customFormat="1" ht="51.95" customHeight="1">
      <c r="A1163" s="5">
        <v>0</v>
      </c>
      <c r="B1163" s="6" t="s">
        <v>6929</v>
      </c>
      <c r="C1163" s="7">
        <v>1116</v>
      </c>
      <c r="D1163" s="8" t="s">
        <v>6930</v>
      </c>
      <c r="E1163" s="8" t="s">
        <v>6931</v>
      </c>
      <c r="F1163" s="8" t="s">
        <v>1511</v>
      </c>
      <c r="G1163" s="6" t="s">
        <v>132</v>
      </c>
      <c r="H1163" s="6" t="s">
        <v>39</v>
      </c>
      <c r="I1163" s="8" t="s">
        <v>828</v>
      </c>
      <c r="J1163" s="9">
        <v>1</v>
      </c>
      <c r="K1163" s="9">
        <v>178</v>
      </c>
      <c r="L1163" s="9">
        <v>2025</v>
      </c>
      <c r="M1163" s="8" t="s">
        <v>6932</v>
      </c>
      <c r="N1163" s="8" t="s">
        <v>220</v>
      </c>
      <c r="O1163" s="8" t="s">
        <v>252</v>
      </c>
      <c r="P1163" s="6" t="s">
        <v>659</v>
      </c>
      <c r="Q1163" s="8" t="s">
        <v>287</v>
      </c>
      <c r="R1163" s="10" t="s">
        <v>6933</v>
      </c>
      <c r="S1163" s="11"/>
      <c r="T1163" s="6"/>
      <c r="U1163" s="24" t="str">
        <f>HYPERLINK("https://media.infra-m.ru/2151/2151101/cover/2151101.jpg", "Обложка")</f>
        <v>Обложка</v>
      </c>
      <c r="V1163" s="24" t="str">
        <f>HYPERLINK("https://znanium.ru/catalog/product/2151101", "Ознакомиться")</f>
        <v>Ознакомиться</v>
      </c>
      <c r="W1163" s="8" t="s">
        <v>1514</v>
      </c>
      <c r="X1163" s="6"/>
      <c r="Y1163" s="6"/>
      <c r="Z1163" s="6"/>
      <c r="AA1163" s="6" t="s">
        <v>159</v>
      </c>
      <c r="AB1163" s="8"/>
    </row>
    <row r="1164" spans="1:28" s="4" customFormat="1" ht="51.95" customHeight="1">
      <c r="A1164" s="5">
        <v>0</v>
      </c>
      <c r="B1164" s="6" t="s">
        <v>6934</v>
      </c>
      <c r="C1164" s="13">
        <v>672</v>
      </c>
      <c r="D1164" s="8" t="s">
        <v>6935</v>
      </c>
      <c r="E1164" s="8" t="s">
        <v>6936</v>
      </c>
      <c r="F1164" s="8" t="s">
        <v>6937</v>
      </c>
      <c r="G1164" s="6" t="s">
        <v>38</v>
      </c>
      <c r="H1164" s="6" t="s">
        <v>182</v>
      </c>
      <c r="I1164" s="8" t="s">
        <v>40</v>
      </c>
      <c r="J1164" s="9">
        <v>1</v>
      </c>
      <c r="K1164" s="9">
        <v>116</v>
      </c>
      <c r="L1164" s="9">
        <v>2024</v>
      </c>
      <c r="M1164" s="8" t="s">
        <v>6938</v>
      </c>
      <c r="N1164" s="8" t="s">
        <v>42</v>
      </c>
      <c r="O1164" s="8" t="s">
        <v>189</v>
      </c>
      <c r="P1164" s="6" t="s">
        <v>44</v>
      </c>
      <c r="Q1164" s="8" t="s">
        <v>1152</v>
      </c>
      <c r="R1164" s="10" t="s">
        <v>6939</v>
      </c>
      <c r="S1164" s="11"/>
      <c r="T1164" s="6"/>
      <c r="U1164" s="24" t="str">
        <f>HYPERLINK("https://media.infra-m.ru/2119/2119095/cover/2119095.jpg", "Обложка")</f>
        <v>Обложка</v>
      </c>
      <c r="V1164" s="24" t="str">
        <f>HYPERLINK("https://znanium.ru/catalog/product/2119095", "Ознакомиться")</f>
        <v>Ознакомиться</v>
      </c>
      <c r="W1164" s="8" t="s">
        <v>5928</v>
      </c>
      <c r="X1164" s="6"/>
      <c r="Y1164" s="6"/>
      <c r="Z1164" s="6"/>
      <c r="AA1164" s="6" t="s">
        <v>290</v>
      </c>
      <c r="AB1164" s="8"/>
    </row>
    <row r="1165" spans="1:28" s="4" customFormat="1" ht="44.1" customHeight="1">
      <c r="A1165" s="5">
        <v>0</v>
      </c>
      <c r="B1165" s="6" t="s">
        <v>6940</v>
      </c>
      <c r="C1165" s="13">
        <v>444</v>
      </c>
      <c r="D1165" s="8" t="s">
        <v>6941</v>
      </c>
      <c r="E1165" s="8" t="s">
        <v>6942</v>
      </c>
      <c r="F1165" s="8" t="s">
        <v>6943</v>
      </c>
      <c r="G1165" s="6" t="s">
        <v>38</v>
      </c>
      <c r="H1165" s="6" t="s">
        <v>39</v>
      </c>
      <c r="I1165" s="8" t="s">
        <v>40</v>
      </c>
      <c r="J1165" s="9">
        <v>1</v>
      </c>
      <c r="K1165" s="9">
        <v>82</v>
      </c>
      <c r="L1165" s="9">
        <v>2023</v>
      </c>
      <c r="M1165" s="8" t="s">
        <v>6944</v>
      </c>
      <c r="N1165" s="8" t="s">
        <v>54</v>
      </c>
      <c r="O1165" s="8" t="s">
        <v>55</v>
      </c>
      <c r="P1165" s="6" t="s">
        <v>44</v>
      </c>
      <c r="Q1165" s="8" t="s">
        <v>45</v>
      </c>
      <c r="R1165" s="10" t="s">
        <v>6945</v>
      </c>
      <c r="S1165" s="11"/>
      <c r="T1165" s="6"/>
      <c r="U1165" s="24" t="str">
        <f>HYPERLINK("https://media.infra-m.ru/1915/1915664/cover/1915664.jpg", "Обложка")</f>
        <v>Обложка</v>
      </c>
      <c r="V1165" s="24" t="str">
        <f>HYPERLINK("https://znanium.ru/catalog/product/1915664", "Ознакомиться")</f>
        <v>Ознакомиться</v>
      </c>
      <c r="W1165" s="8" t="s">
        <v>491</v>
      </c>
      <c r="X1165" s="6"/>
      <c r="Y1165" s="6"/>
      <c r="Z1165" s="6"/>
      <c r="AA1165" s="6" t="s">
        <v>339</v>
      </c>
      <c r="AB1165" s="8"/>
    </row>
    <row r="1166" spans="1:28" s="4" customFormat="1" ht="51.95" customHeight="1">
      <c r="A1166" s="5">
        <v>0</v>
      </c>
      <c r="B1166" s="6" t="s">
        <v>6946</v>
      </c>
      <c r="C1166" s="7">
        <v>2460</v>
      </c>
      <c r="D1166" s="8" t="s">
        <v>6947</v>
      </c>
      <c r="E1166" s="8" t="s">
        <v>6948</v>
      </c>
      <c r="F1166" s="8" t="s">
        <v>6949</v>
      </c>
      <c r="G1166" s="6" t="s">
        <v>132</v>
      </c>
      <c r="H1166" s="6" t="s">
        <v>39</v>
      </c>
      <c r="I1166" s="8"/>
      <c r="J1166" s="9">
        <v>1</v>
      </c>
      <c r="K1166" s="9">
        <v>525</v>
      </c>
      <c r="L1166" s="9">
        <v>2021</v>
      </c>
      <c r="M1166" s="8" t="s">
        <v>6950</v>
      </c>
      <c r="N1166" s="8" t="s">
        <v>54</v>
      </c>
      <c r="O1166" s="8" t="s">
        <v>117</v>
      </c>
      <c r="P1166" s="6" t="s">
        <v>44</v>
      </c>
      <c r="Q1166" s="8" t="s">
        <v>45</v>
      </c>
      <c r="R1166" s="10" t="s">
        <v>6951</v>
      </c>
      <c r="S1166" s="11"/>
      <c r="T1166" s="6"/>
      <c r="U1166" s="24" t="str">
        <f>HYPERLINK("https://media.infra-m.ru/1863/1863807/cover/1863807.jpg", "Обложка")</f>
        <v>Обложка</v>
      </c>
      <c r="V1166" s="24" t="str">
        <f>HYPERLINK("https://znanium.ru/catalog/product/1844348", "Ознакомиться")</f>
        <v>Ознакомиться</v>
      </c>
      <c r="W1166" s="8"/>
      <c r="X1166" s="6"/>
      <c r="Y1166" s="6"/>
      <c r="Z1166" s="6"/>
      <c r="AA1166" s="6" t="s">
        <v>199</v>
      </c>
      <c r="AB1166" s="8"/>
    </row>
    <row r="1167" spans="1:28" s="4" customFormat="1" ht="51.95" customHeight="1">
      <c r="A1167" s="5">
        <v>0</v>
      </c>
      <c r="B1167" s="6" t="s">
        <v>6952</v>
      </c>
      <c r="C1167" s="13">
        <v>492</v>
      </c>
      <c r="D1167" s="8" t="s">
        <v>6953</v>
      </c>
      <c r="E1167" s="8" t="s">
        <v>6954</v>
      </c>
      <c r="F1167" s="8" t="s">
        <v>6955</v>
      </c>
      <c r="G1167" s="6" t="s">
        <v>38</v>
      </c>
      <c r="H1167" s="6" t="s">
        <v>39</v>
      </c>
      <c r="I1167" s="8" t="s">
        <v>40</v>
      </c>
      <c r="J1167" s="9">
        <v>1</v>
      </c>
      <c r="K1167" s="9">
        <v>131</v>
      </c>
      <c r="L1167" s="9">
        <v>2018</v>
      </c>
      <c r="M1167" s="8" t="s">
        <v>6956</v>
      </c>
      <c r="N1167" s="8" t="s">
        <v>42</v>
      </c>
      <c r="O1167" s="8" t="s">
        <v>189</v>
      </c>
      <c r="P1167" s="6" t="s">
        <v>44</v>
      </c>
      <c r="Q1167" s="8" t="s">
        <v>45</v>
      </c>
      <c r="R1167" s="10" t="s">
        <v>6957</v>
      </c>
      <c r="S1167" s="11"/>
      <c r="T1167" s="6"/>
      <c r="U1167" s="24" t="str">
        <f>HYPERLINK("https://media.infra-m.ru/0924/0924969/cover/924969.jpg", "Обложка")</f>
        <v>Обложка</v>
      </c>
      <c r="V1167" s="24" t="str">
        <f>HYPERLINK("https://znanium.ru/catalog/product/924969", "Ознакомиться")</f>
        <v>Ознакомиться</v>
      </c>
      <c r="W1167" s="8" t="s">
        <v>6958</v>
      </c>
      <c r="X1167" s="6"/>
      <c r="Y1167" s="6"/>
      <c r="Z1167" s="6"/>
      <c r="AA1167" s="6" t="s">
        <v>339</v>
      </c>
      <c r="AB1167" s="8"/>
    </row>
    <row r="1168" spans="1:28" s="4" customFormat="1" ht="44.1" customHeight="1">
      <c r="A1168" s="5">
        <v>0</v>
      </c>
      <c r="B1168" s="6" t="s">
        <v>6959</v>
      </c>
      <c r="C1168" s="7">
        <v>1428</v>
      </c>
      <c r="D1168" s="8" t="s">
        <v>6960</v>
      </c>
      <c r="E1168" s="8" t="s">
        <v>6961</v>
      </c>
      <c r="F1168" s="8" t="s">
        <v>6962</v>
      </c>
      <c r="G1168" s="6" t="s">
        <v>81</v>
      </c>
      <c r="H1168" s="6" t="s">
        <v>99</v>
      </c>
      <c r="I1168" s="8"/>
      <c r="J1168" s="9">
        <v>1</v>
      </c>
      <c r="K1168" s="9">
        <v>304</v>
      </c>
      <c r="L1168" s="9">
        <v>2022</v>
      </c>
      <c r="M1168" s="8" t="s">
        <v>6963</v>
      </c>
      <c r="N1168" s="8" t="s">
        <v>42</v>
      </c>
      <c r="O1168" s="8" t="s">
        <v>101</v>
      </c>
      <c r="P1168" s="6" t="s">
        <v>44</v>
      </c>
      <c r="Q1168" s="8" t="s">
        <v>45</v>
      </c>
      <c r="R1168" s="10" t="s">
        <v>6964</v>
      </c>
      <c r="S1168" s="11"/>
      <c r="T1168" s="6"/>
      <c r="U1168" s="24" t="str">
        <f>HYPERLINK("https://media.infra-m.ru/1840/1840904/cover/1840904.jpg", "Обложка")</f>
        <v>Обложка</v>
      </c>
      <c r="V1168" s="24" t="str">
        <f>HYPERLINK("https://znanium.ru/catalog/product/1840904", "Ознакомиться")</f>
        <v>Ознакомиться</v>
      </c>
      <c r="W1168" s="8" t="s">
        <v>103</v>
      </c>
      <c r="X1168" s="6"/>
      <c r="Y1168" s="6"/>
      <c r="Z1168" s="6"/>
      <c r="AA1168" s="6" t="s">
        <v>369</v>
      </c>
      <c r="AB1168" s="8"/>
    </row>
    <row r="1169" spans="1:28" s="4" customFormat="1" ht="44.1" customHeight="1">
      <c r="A1169" s="5">
        <v>0</v>
      </c>
      <c r="B1169" s="6" t="s">
        <v>6965</v>
      </c>
      <c r="C1169" s="7">
        <v>1296</v>
      </c>
      <c r="D1169" s="8" t="s">
        <v>6966</v>
      </c>
      <c r="E1169" s="8" t="s">
        <v>6967</v>
      </c>
      <c r="F1169" s="8" t="s">
        <v>6968</v>
      </c>
      <c r="G1169" s="6" t="s">
        <v>81</v>
      </c>
      <c r="H1169" s="6" t="s">
        <v>99</v>
      </c>
      <c r="I1169" s="8"/>
      <c r="J1169" s="9">
        <v>1</v>
      </c>
      <c r="K1169" s="9">
        <v>208</v>
      </c>
      <c r="L1169" s="9">
        <v>2026</v>
      </c>
      <c r="M1169" s="8" t="s">
        <v>6969</v>
      </c>
      <c r="N1169" s="8" t="s">
        <v>42</v>
      </c>
      <c r="O1169" s="8" t="s">
        <v>101</v>
      </c>
      <c r="P1169" s="6" t="s">
        <v>44</v>
      </c>
      <c r="Q1169" s="8" t="s">
        <v>45</v>
      </c>
      <c r="R1169" s="10" t="s">
        <v>6970</v>
      </c>
      <c r="S1169" s="11"/>
      <c r="T1169" s="6"/>
      <c r="U1169" s="24" t="str">
        <f>HYPERLINK("https://media.infra-m.ru/2218/2218416/cover/2218416.jpg", "Обложка")</f>
        <v>Обложка</v>
      </c>
      <c r="V1169" s="24" t="str">
        <f>HYPERLINK("https://znanium.ru/catalog/product/2218416", "Ознакомиться")</f>
        <v>Ознакомиться</v>
      </c>
      <c r="W1169" s="8" t="s">
        <v>1349</v>
      </c>
      <c r="X1169" s="6"/>
      <c r="Y1169" s="6"/>
      <c r="Z1169" s="6"/>
      <c r="AA1169" s="6" t="s">
        <v>290</v>
      </c>
      <c r="AB1169" s="8"/>
    </row>
    <row r="1170" spans="1:28" s="4" customFormat="1" ht="42" customHeight="1">
      <c r="A1170" s="5">
        <v>0</v>
      </c>
      <c r="B1170" s="6" t="s">
        <v>6971</v>
      </c>
      <c r="C1170" s="13">
        <v>708</v>
      </c>
      <c r="D1170" s="8" t="s">
        <v>6972</v>
      </c>
      <c r="E1170" s="8" t="s">
        <v>6973</v>
      </c>
      <c r="F1170" s="8" t="s">
        <v>697</v>
      </c>
      <c r="G1170" s="6" t="s">
        <v>38</v>
      </c>
      <c r="H1170" s="6" t="s">
        <v>39</v>
      </c>
      <c r="I1170" s="8" t="s">
        <v>40</v>
      </c>
      <c r="J1170" s="9">
        <v>1</v>
      </c>
      <c r="K1170" s="9">
        <v>167</v>
      </c>
      <c r="L1170" s="9">
        <v>2021</v>
      </c>
      <c r="M1170" s="8" t="s">
        <v>6974</v>
      </c>
      <c r="N1170" s="8" t="s">
        <v>54</v>
      </c>
      <c r="O1170" s="8" t="s">
        <v>91</v>
      </c>
      <c r="P1170" s="6" t="s">
        <v>44</v>
      </c>
      <c r="Q1170" s="8" t="s">
        <v>45</v>
      </c>
      <c r="R1170" s="10" t="s">
        <v>1677</v>
      </c>
      <c r="S1170" s="11"/>
      <c r="T1170" s="6"/>
      <c r="U1170" s="24" t="str">
        <f>HYPERLINK("https://media.infra-m.ru/1095/1095735/cover/1095735.jpg", "Обложка")</f>
        <v>Обложка</v>
      </c>
      <c r="V1170" s="24" t="str">
        <f>HYPERLINK("https://znanium.ru/catalog/product/1095735", "Ознакомиться")</f>
        <v>Ознакомиться</v>
      </c>
      <c r="W1170" s="8" t="s">
        <v>699</v>
      </c>
      <c r="X1170" s="6"/>
      <c r="Y1170" s="6"/>
      <c r="Z1170" s="6"/>
      <c r="AA1170" s="6" t="s">
        <v>369</v>
      </c>
      <c r="AB1170" s="8" t="s">
        <v>653</v>
      </c>
    </row>
    <row r="1171" spans="1:28" s="4" customFormat="1" ht="44.1" customHeight="1">
      <c r="A1171" s="5">
        <v>0</v>
      </c>
      <c r="B1171" s="6" t="s">
        <v>6975</v>
      </c>
      <c r="C1171" s="7">
        <v>1764</v>
      </c>
      <c r="D1171" s="8" t="s">
        <v>6976</v>
      </c>
      <c r="E1171" s="8" t="s">
        <v>6977</v>
      </c>
      <c r="F1171" s="8" t="s">
        <v>6978</v>
      </c>
      <c r="G1171" s="6" t="s">
        <v>38</v>
      </c>
      <c r="H1171" s="6" t="s">
        <v>1019</v>
      </c>
      <c r="I1171" s="8" t="s">
        <v>1020</v>
      </c>
      <c r="J1171" s="9">
        <v>1</v>
      </c>
      <c r="K1171" s="9">
        <v>320</v>
      </c>
      <c r="L1171" s="9">
        <v>2024</v>
      </c>
      <c r="M1171" s="8" t="s">
        <v>6979</v>
      </c>
      <c r="N1171" s="8" t="s">
        <v>220</v>
      </c>
      <c r="O1171" s="8" t="s">
        <v>296</v>
      </c>
      <c r="P1171" s="6" t="s">
        <v>44</v>
      </c>
      <c r="Q1171" s="8" t="s">
        <v>1152</v>
      </c>
      <c r="R1171" s="10" t="s">
        <v>6980</v>
      </c>
      <c r="S1171" s="11"/>
      <c r="T1171" s="6"/>
      <c r="U1171" s="24" t="str">
        <f>HYPERLINK("https://media.infra-m.ru/0942/0942222/cover/942222.jpg", "Обложка")</f>
        <v>Обложка</v>
      </c>
      <c r="V1171" s="24" t="str">
        <f>HYPERLINK("https://znanium.ru/catalog/product/942222", "Ознакомиться")</f>
        <v>Ознакомиться</v>
      </c>
      <c r="W1171" s="8" t="s">
        <v>176</v>
      </c>
      <c r="X1171" s="6"/>
      <c r="Y1171" s="6"/>
      <c r="Z1171" s="6"/>
      <c r="AA1171" s="6" t="s">
        <v>339</v>
      </c>
      <c r="AB1171" s="8"/>
    </row>
    <row r="1172" spans="1:28" s="4" customFormat="1" ht="42" customHeight="1">
      <c r="A1172" s="5">
        <v>0</v>
      </c>
      <c r="B1172" s="6" t="s">
        <v>6981</v>
      </c>
      <c r="C1172" s="7">
        <v>1200</v>
      </c>
      <c r="D1172" s="8" t="s">
        <v>6982</v>
      </c>
      <c r="E1172" s="8" t="s">
        <v>6983</v>
      </c>
      <c r="F1172" s="8" t="s">
        <v>6984</v>
      </c>
      <c r="G1172" s="6" t="s">
        <v>38</v>
      </c>
      <c r="H1172" s="6" t="s">
        <v>39</v>
      </c>
      <c r="I1172" s="8" t="s">
        <v>2342</v>
      </c>
      <c r="J1172" s="9">
        <v>1</v>
      </c>
      <c r="K1172" s="9">
        <v>182</v>
      </c>
      <c r="L1172" s="9">
        <v>2026</v>
      </c>
      <c r="M1172" s="8" t="s">
        <v>6985</v>
      </c>
      <c r="N1172" s="8" t="s">
        <v>284</v>
      </c>
      <c r="O1172" s="8" t="s">
        <v>717</v>
      </c>
      <c r="P1172" s="6" t="s">
        <v>44</v>
      </c>
      <c r="Q1172" s="8" t="s">
        <v>45</v>
      </c>
      <c r="R1172" s="10" t="s">
        <v>6986</v>
      </c>
      <c r="S1172" s="11"/>
      <c r="T1172" s="6" t="s">
        <v>1080</v>
      </c>
      <c r="U1172" s="24" t="str">
        <f>HYPERLINK("https://media.infra-m.ru/2225/2225041/cover/2225041.jpg", "Обложка")</f>
        <v>Обложка</v>
      </c>
      <c r="V1172" s="24" t="str">
        <f>HYPERLINK("https://znanium.ru/catalog/product/2225041", "Ознакомиться")</f>
        <v>Ознакомиться</v>
      </c>
      <c r="W1172" s="8" t="s">
        <v>232</v>
      </c>
      <c r="X1172" s="6"/>
      <c r="Y1172" s="6"/>
      <c r="Z1172" s="6"/>
      <c r="AA1172" s="6" t="s">
        <v>76</v>
      </c>
      <c r="AB1172" s="8"/>
    </row>
    <row r="1173" spans="1:28" s="4" customFormat="1" ht="44.1" customHeight="1">
      <c r="A1173" s="5">
        <v>0</v>
      </c>
      <c r="B1173" s="6" t="s">
        <v>6987</v>
      </c>
      <c r="C1173" s="7">
        <v>1428</v>
      </c>
      <c r="D1173" s="8" t="s">
        <v>6988</v>
      </c>
      <c r="E1173" s="8" t="s">
        <v>6989</v>
      </c>
      <c r="F1173" s="8" t="s">
        <v>1485</v>
      </c>
      <c r="G1173" s="6" t="s">
        <v>81</v>
      </c>
      <c r="H1173" s="6" t="s">
        <v>39</v>
      </c>
      <c r="I1173" s="8" t="s">
        <v>40</v>
      </c>
      <c r="J1173" s="9">
        <v>1</v>
      </c>
      <c r="K1173" s="9">
        <v>258</v>
      </c>
      <c r="L1173" s="9">
        <v>2024</v>
      </c>
      <c r="M1173" s="8" t="s">
        <v>6990</v>
      </c>
      <c r="N1173" s="8" t="s">
        <v>54</v>
      </c>
      <c r="O1173" s="8" t="s">
        <v>55</v>
      </c>
      <c r="P1173" s="6" t="s">
        <v>44</v>
      </c>
      <c r="Q1173" s="8" t="s">
        <v>45</v>
      </c>
      <c r="R1173" s="10" t="s">
        <v>6991</v>
      </c>
      <c r="S1173" s="11"/>
      <c r="T1173" s="6"/>
      <c r="U1173" s="24" t="str">
        <f>HYPERLINK("https://media.infra-m.ru/2115/2115738/cover/2115738.jpg", "Обложка")</f>
        <v>Обложка</v>
      </c>
      <c r="V1173" s="24" t="str">
        <f>HYPERLINK("https://znanium.ru/catalog/product/2115738", "Ознакомиться")</f>
        <v>Ознакомиться</v>
      </c>
      <c r="W1173" s="8" t="s">
        <v>641</v>
      </c>
      <c r="X1173" s="6"/>
      <c r="Y1173" s="6"/>
      <c r="Z1173" s="6"/>
      <c r="AA1173" s="6" t="s">
        <v>892</v>
      </c>
      <c r="AB1173" s="8"/>
    </row>
    <row r="1174" spans="1:28" s="4" customFormat="1" ht="42" customHeight="1">
      <c r="A1174" s="5">
        <v>0</v>
      </c>
      <c r="B1174" s="6" t="s">
        <v>6992</v>
      </c>
      <c r="C1174" s="7">
        <v>1044</v>
      </c>
      <c r="D1174" s="8" t="s">
        <v>6993</v>
      </c>
      <c r="E1174" s="8" t="s">
        <v>6994</v>
      </c>
      <c r="F1174" s="8" t="s">
        <v>6995</v>
      </c>
      <c r="G1174" s="6" t="s">
        <v>38</v>
      </c>
      <c r="H1174" s="6" t="s">
        <v>39</v>
      </c>
      <c r="I1174" s="8" t="s">
        <v>344</v>
      </c>
      <c r="J1174" s="9">
        <v>1</v>
      </c>
      <c r="K1174" s="9">
        <v>188</v>
      </c>
      <c r="L1174" s="9">
        <v>2024</v>
      </c>
      <c r="M1174" s="8" t="s">
        <v>6996</v>
      </c>
      <c r="N1174" s="8" t="s">
        <v>220</v>
      </c>
      <c r="O1174" s="8" t="s">
        <v>474</v>
      </c>
      <c r="P1174" s="6" t="s">
        <v>44</v>
      </c>
      <c r="Q1174" s="8" t="s">
        <v>45</v>
      </c>
      <c r="R1174" s="10" t="s">
        <v>6851</v>
      </c>
      <c r="S1174" s="11"/>
      <c r="T1174" s="6"/>
      <c r="U1174" s="24" t="str">
        <f>HYPERLINK("https://media.infra-m.ru/2075/2075124/cover/2075124.jpg", "Обложка")</f>
        <v>Обложка</v>
      </c>
      <c r="V1174" s="12"/>
      <c r="W1174" s="8" t="s">
        <v>346</v>
      </c>
      <c r="X1174" s="6"/>
      <c r="Y1174" s="6"/>
      <c r="Z1174" s="6"/>
      <c r="AA1174" s="6" t="s">
        <v>68</v>
      </c>
      <c r="AB1174" s="8"/>
    </row>
    <row r="1175" spans="1:28" s="4" customFormat="1" ht="42" customHeight="1">
      <c r="A1175" s="5">
        <v>0</v>
      </c>
      <c r="B1175" s="6" t="s">
        <v>6997</v>
      </c>
      <c r="C1175" s="13">
        <v>892.8</v>
      </c>
      <c r="D1175" s="8" t="s">
        <v>6998</v>
      </c>
      <c r="E1175" s="8" t="s">
        <v>6999</v>
      </c>
      <c r="F1175" s="8" t="s">
        <v>7000</v>
      </c>
      <c r="G1175" s="6" t="s">
        <v>132</v>
      </c>
      <c r="H1175" s="6" t="s">
        <v>39</v>
      </c>
      <c r="I1175" s="8" t="s">
        <v>40</v>
      </c>
      <c r="J1175" s="9">
        <v>1</v>
      </c>
      <c r="K1175" s="9">
        <v>158</v>
      </c>
      <c r="L1175" s="9">
        <v>2024</v>
      </c>
      <c r="M1175" s="8" t="s">
        <v>7001</v>
      </c>
      <c r="N1175" s="8" t="s">
        <v>284</v>
      </c>
      <c r="O1175" s="8" t="s">
        <v>482</v>
      </c>
      <c r="P1175" s="6" t="s">
        <v>44</v>
      </c>
      <c r="Q1175" s="8" t="s">
        <v>45</v>
      </c>
      <c r="R1175" s="10" t="s">
        <v>7002</v>
      </c>
      <c r="S1175" s="11"/>
      <c r="T1175" s="6"/>
      <c r="U1175" s="24" t="str">
        <f>HYPERLINK("https://media.infra-m.ru/2086/2086787/cover/2086787.jpg", "Обложка")</f>
        <v>Обложка</v>
      </c>
      <c r="V1175" s="24" t="str">
        <f>HYPERLINK("https://znanium.ru/catalog/product/1093729", "Ознакомиться")</f>
        <v>Ознакомиться</v>
      </c>
      <c r="W1175" s="8" t="s">
        <v>4473</v>
      </c>
      <c r="X1175" s="6"/>
      <c r="Y1175" s="6"/>
      <c r="Z1175" s="6"/>
      <c r="AA1175" s="6" t="s">
        <v>339</v>
      </c>
      <c r="AB1175" s="8"/>
    </row>
    <row r="1176" spans="1:28" s="4" customFormat="1" ht="51.95" customHeight="1">
      <c r="A1176" s="5">
        <v>0</v>
      </c>
      <c r="B1176" s="6" t="s">
        <v>7003</v>
      </c>
      <c r="C1176" s="7">
        <v>1252.8</v>
      </c>
      <c r="D1176" s="8" t="s">
        <v>7004</v>
      </c>
      <c r="E1176" s="8" t="s">
        <v>7005</v>
      </c>
      <c r="F1176" s="8" t="s">
        <v>7006</v>
      </c>
      <c r="G1176" s="6" t="s">
        <v>81</v>
      </c>
      <c r="H1176" s="6" t="s">
        <v>39</v>
      </c>
      <c r="I1176" s="8" t="s">
        <v>7007</v>
      </c>
      <c r="J1176" s="9">
        <v>1</v>
      </c>
      <c r="K1176" s="9">
        <v>207</v>
      </c>
      <c r="L1176" s="9">
        <v>2023</v>
      </c>
      <c r="M1176" s="8" t="s">
        <v>7008</v>
      </c>
      <c r="N1176" s="8" t="s">
        <v>284</v>
      </c>
      <c r="O1176" s="8" t="s">
        <v>717</v>
      </c>
      <c r="P1176" s="6" t="s">
        <v>44</v>
      </c>
      <c r="Q1176" s="8" t="s">
        <v>45</v>
      </c>
      <c r="R1176" s="10" t="s">
        <v>7009</v>
      </c>
      <c r="S1176" s="11"/>
      <c r="T1176" s="6"/>
      <c r="U1176" s="24" t="str">
        <f>HYPERLINK("https://media.infra-m.ru/2114/2114824/cover/2114824.jpg", "Обложка")</f>
        <v>Обложка</v>
      </c>
      <c r="V1176" s="24" t="str">
        <f>HYPERLINK("https://znanium.ru/catalog/product/2105341", "Ознакомиться")</f>
        <v>Ознакомиться</v>
      </c>
      <c r="W1176" s="8" t="s">
        <v>747</v>
      </c>
      <c r="X1176" s="6"/>
      <c r="Y1176" s="6"/>
      <c r="Z1176" s="6"/>
      <c r="AA1176" s="6" t="s">
        <v>119</v>
      </c>
      <c r="AB1176" s="8" t="s">
        <v>613</v>
      </c>
    </row>
    <row r="1177" spans="1:28" s="4" customFormat="1" ht="51.95" customHeight="1">
      <c r="A1177" s="5">
        <v>0</v>
      </c>
      <c r="B1177" s="6" t="s">
        <v>7010</v>
      </c>
      <c r="C1177" s="7">
        <v>1116</v>
      </c>
      <c r="D1177" s="8" t="s">
        <v>7011</v>
      </c>
      <c r="E1177" s="8" t="s">
        <v>7012</v>
      </c>
      <c r="F1177" s="8" t="s">
        <v>5237</v>
      </c>
      <c r="G1177" s="6" t="s">
        <v>38</v>
      </c>
      <c r="H1177" s="6" t="s">
        <v>39</v>
      </c>
      <c r="I1177" s="8" t="s">
        <v>40</v>
      </c>
      <c r="J1177" s="9">
        <v>1</v>
      </c>
      <c r="K1177" s="9">
        <v>201</v>
      </c>
      <c r="L1177" s="9">
        <v>2024</v>
      </c>
      <c r="M1177" s="8" t="s">
        <v>7013</v>
      </c>
      <c r="N1177" s="8" t="s">
        <v>42</v>
      </c>
      <c r="O1177" s="8" t="s">
        <v>155</v>
      </c>
      <c r="P1177" s="6" t="s">
        <v>44</v>
      </c>
      <c r="Q1177" s="8" t="s">
        <v>45</v>
      </c>
      <c r="R1177" s="10" t="s">
        <v>7014</v>
      </c>
      <c r="S1177" s="11"/>
      <c r="T1177" s="6"/>
      <c r="U1177" s="24" t="str">
        <f>HYPERLINK("https://media.infra-m.ru/2058/2058731/cover/2058731.jpg", "Обложка")</f>
        <v>Обложка</v>
      </c>
      <c r="V1177" s="24" t="str">
        <f>HYPERLINK("https://znanium.ru/catalog/product/2058731", "Ознакомиться")</f>
        <v>Ознакомиться</v>
      </c>
      <c r="W1177" s="8" t="s">
        <v>1323</v>
      </c>
      <c r="X1177" s="6"/>
      <c r="Y1177" s="6"/>
      <c r="Z1177" s="6"/>
      <c r="AA1177" s="6" t="s">
        <v>2773</v>
      </c>
      <c r="AB1177" s="8"/>
    </row>
    <row r="1178" spans="1:28" s="4" customFormat="1" ht="44.1" customHeight="1">
      <c r="A1178" s="5">
        <v>0</v>
      </c>
      <c r="B1178" s="6" t="s">
        <v>7015</v>
      </c>
      <c r="C1178" s="7">
        <v>1300.8</v>
      </c>
      <c r="D1178" s="8" t="s">
        <v>7016</v>
      </c>
      <c r="E1178" s="8" t="s">
        <v>7017</v>
      </c>
      <c r="F1178" s="8" t="s">
        <v>7018</v>
      </c>
      <c r="G1178" s="6" t="s">
        <v>38</v>
      </c>
      <c r="H1178" s="6" t="s">
        <v>99</v>
      </c>
      <c r="I1178" s="8"/>
      <c r="J1178" s="9">
        <v>1</v>
      </c>
      <c r="K1178" s="9">
        <v>208</v>
      </c>
      <c r="L1178" s="9">
        <v>2025</v>
      </c>
      <c r="M1178" s="8" t="s">
        <v>7019</v>
      </c>
      <c r="N1178" s="8" t="s">
        <v>42</v>
      </c>
      <c r="O1178" s="8" t="s">
        <v>101</v>
      </c>
      <c r="P1178" s="6" t="s">
        <v>44</v>
      </c>
      <c r="Q1178" s="8" t="s">
        <v>45</v>
      </c>
      <c r="R1178" s="10" t="s">
        <v>7020</v>
      </c>
      <c r="S1178" s="11"/>
      <c r="T1178" s="6"/>
      <c r="U1178" s="24" t="str">
        <f>HYPERLINK("https://media.infra-m.ru/2192/2192441/cover/2192441.jpg", "Обложка")</f>
        <v>Обложка</v>
      </c>
      <c r="V1178" s="24" t="str">
        <f>HYPERLINK("https://znanium.ru/catalog/product/2023175", "Ознакомиться")</f>
        <v>Ознакомиться</v>
      </c>
      <c r="W1178" s="8" t="s">
        <v>1529</v>
      </c>
      <c r="X1178" s="6"/>
      <c r="Y1178" s="6"/>
      <c r="Z1178" s="6"/>
      <c r="AA1178" s="6" t="s">
        <v>377</v>
      </c>
      <c r="AB1178" s="8"/>
    </row>
    <row r="1179" spans="1:28" s="4" customFormat="1" ht="42" customHeight="1">
      <c r="A1179" s="5">
        <v>0</v>
      </c>
      <c r="B1179" s="6" t="s">
        <v>7021</v>
      </c>
      <c r="C1179" s="13">
        <v>564</v>
      </c>
      <c r="D1179" s="8" t="s">
        <v>7022</v>
      </c>
      <c r="E1179" s="8" t="s">
        <v>7023</v>
      </c>
      <c r="F1179" s="8" t="s">
        <v>7024</v>
      </c>
      <c r="G1179" s="6" t="s">
        <v>38</v>
      </c>
      <c r="H1179" s="6" t="s">
        <v>39</v>
      </c>
      <c r="I1179" s="8" t="s">
        <v>4478</v>
      </c>
      <c r="J1179" s="9">
        <v>1</v>
      </c>
      <c r="K1179" s="9">
        <v>77</v>
      </c>
      <c r="L1179" s="9">
        <v>2022</v>
      </c>
      <c r="M1179" s="8" t="s">
        <v>7025</v>
      </c>
      <c r="N1179" s="8" t="s">
        <v>284</v>
      </c>
      <c r="O1179" s="8" t="s">
        <v>717</v>
      </c>
      <c r="P1179" s="6" t="s">
        <v>239</v>
      </c>
      <c r="Q1179" s="8" t="s">
        <v>416</v>
      </c>
      <c r="R1179" s="10" t="s">
        <v>7026</v>
      </c>
      <c r="S1179" s="11"/>
      <c r="T1179" s="6"/>
      <c r="U1179" s="24" t="str">
        <f>HYPERLINK("https://media.infra-m.ru/1946/1946191/cover/1946191.jpg", "Обложка")</f>
        <v>Обложка</v>
      </c>
      <c r="V1179" s="24" t="str">
        <f>HYPERLINK("https://znanium.ru/catalog/product/1922279", "Ознакомиться")</f>
        <v>Ознакомиться</v>
      </c>
      <c r="W1179" s="8" t="s">
        <v>7027</v>
      </c>
      <c r="X1179" s="6"/>
      <c r="Y1179" s="6"/>
      <c r="Z1179" s="6"/>
      <c r="AA1179" s="6" t="s">
        <v>127</v>
      </c>
      <c r="AB1179" s="8"/>
    </row>
    <row r="1180" spans="1:28" s="4" customFormat="1" ht="51.95" customHeight="1">
      <c r="A1180" s="5">
        <v>0</v>
      </c>
      <c r="B1180" s="6" t="s">
        <v>7028</v>
      </c>
      <c r="C1180" s="13">
        <v>929.9</v>
      </c>
      <c r="D1180" s="8" t="s">
        <v>7029</v>
      </c>
      <c r="E1180" s="8" t="s">
        <v>7030</v>
      </c>
      <c r="F1180" s="8" t="s">
        <v>7031</v>
      </c>
      <c r="G1180" s="6" t="s">
        <v>38</v>
      </c>
      <c r="H1180" s="6" t="s">
        <v>39</v>
      </c>
      <c r="I1180" s="8" t="s">
        <v>40</v>
      </c>
      <c r="J1180" s="9">
        <v>1</v>
      </c>
      <c r="K1180" s="9">
        <v>190</v>
      </c>
      <c r="L1180" s="9">
        <v>2022</v>
      </c>
      <c r="M1180" s="8" t="s">
        <v>7032</v>
      </c>
      <c r="N1180" s="8" t="s">
        <v>42</v>
      </c>
      <c r="O1180" s="8" t="s">
        <v>189</v>
      </c>
      <c r="P1180" s="6" t="s">
        <v>44</v>
      </c>
      <c r="Q1180" s="8" t="s">
        <v>45</v>
      </c>
      <c r="R1180" s="10" t="s">
        <v>7033</v>
      </c>
      <c r="S1180" s="11"/>
      <c r="T1180" s="6"/>
      <c r="U1180" s="24" t="str">
        <f>HYPERLINK("https://media.infra-m.ru/1844/1844466/cover/1844466.jpg", "Обложка")</f>
        <v>Обложка</v>
      </c>
      <c r="V1180" s="24" t="str">
        <f>HYPERLINK("https://znanium.ru/catalog/product/1080130", "Ознакомиться")</f>
        <v>Ознакомиться</v>
      </c>
      <c r="W1180" s="8" t="s">
        <v>7034</v>
      </c>
      <c r="X1180" s="6"/>
      <c r="Y1180" s="6"/>
      <c r="Z1180" s="6"/>
      <c r="AA1180" s="6" t="s">
        <v>168</v>
      </c>
      <c r="AB1180" s="8"/>
    </row>
    <row r="1181" spans="1:28" s="4" customFormat="1" ht="42" customHeight="1">
      <c r="A1181" s="5">
        <v>0</v>
      </c>
      <c r="B1181" s="6" t="s">
        <v>7035</v>
      </c>
      <c r="C1181" s="13">
        <v>804</v>
      </c>
      <c r="D1181" s="8" t="s">
        <v>7036</v>
      </c>
      <c r="E1181" s="8" t="s">
        <v>7037</v>
      </c>
      <c r="F1181" s="8" t="s">
        <v>6742</v>
      </c>
      <c r="G1181" s="6" t="s">
        <v>38</v>
      </c>
      <c r="H1181" s="6" t="s">
        <v>39</v>
      </c>
      <c r="I1181" s="8" t="s">
        <v>40</v>
      </c>
      <c r="J1181" s="9">
        <v>1</v>
      </c>
      <c r="K1181" s="9">
        <v>141</v>
      </c>
      <c r="L1181" s="9">
        <v>2023</v>
      </c>
      <c r="M1181" s="8" t="s">
        <v>7038</v>
      </c>
      <c r="N1181" s="8" t="s">
        <v>54</v>
      </c>
      <c r="O1181" s="8" t="s">
        <v>55</v>
      </c>
      <c r="P1181" s="6" t="s">
        <v>44</v>
      </c>
      <c r="Q1181" s="8" t="s">
        <v>45</v>
      </c>
      <c r="R1181" s="10" t="s">
        <v>1341</v>
      </c>
      <c r="S1181" s="11"/>
      <c r="T1181" s="6"/>
      <c r="U1181" s="24" t="str">
        <f>HYPERLINK("https://media.infra-m.ru/1894/1894396/cover/1894396.jpg", "Обложка")</f>
        <v>Обложка</v>
      </c>
      <c r="V1181" s="24" t="str">
        <f>HYPERLINK("https://znanium.ru/catalog/product/1894396", "Ознакомиться")</f>
        <v>Ознакомиться</v>
      </c>
      <c r="W1181" s="8"/>
      <c r="X1181" s="6"/>
      <c r="Y1181" s="6"/>
      <c r="Z1181" s="6"/>
      <c r="AA1181" s="6" t="s">
        <v>119</v>
      </c>
      <c r="AB1181" s="8"/>
    </row>
    <row r="1182" spans="1:28" s="4" customFormat="1" ht="51.95" customHeight="1">
      <c r="A1182" s="5">
        <v>0</v>
      </c>
      <c r="B1182" s="6" t="s">
        <v>7039</v>
      </c>
      <c r="C1182" s="13">
        <v>977.9</v>
      </c>
      <c r="D1182" s="8" t="s">
        <v>7040</v>
      </c>
      <c r="E1182" s="8" t="s">
        <v>7041</v>
      </c>
      <c r="F1182" s="8" t="s">
        <v>7042</v>
      </c>
      <c r="G1182" s="6" t="s">
        <v>38</v>
      </c>
      <c r="H1182" s="6" t="s">
        <v>182</v>
      </c>
      <c r="I1182" s="8" t="s">
        <v>40</v>
      </c>
      <c r="J1182" s="9">
        <v>1</v>
      </c>
      <c r="K1182" s="9">
        <v>202</v>
      </c>
      <c r="L1182" s="9">
        <v>2022</v>
      </c>
      <c r="M1182" s="8" t="s">
        <v>7043</v>
      </c>
      <c r="N1182" s="8" t="s">
        <v>284</v>
      </c>
      <c r="O1182" s="8" t="s">
        <v>1549</v>
      </c>
      <c r="P1182" s="6" t="s">
        <v>44</v>
      </c>
      <c r="Q1182" s="8" t="s">
        <v>45</v>
      </c>
      <c r="R1182" s="10" t="s">
        <v>7044</v>
      </c>
      <c r="S1182" s="11"/>
      <c r="T1182" s="6"/>
      <c r="U1182" s="24" t="str">
        <f>HYPERLINK("https://media.infra-m.ru/1855/1855613/cover/1855613.jpg", "Обложка")</f>
        <v>Обложка</v>
      </c>
      <c r="V1182" s="24" t="str">
        <f>HYPERLINK("https://znanium.ru/catalog/product/1855613", "Ознакомиться")</f>
        <v>Ознакомиться</v>
      </c>
      <c r="W1182" s="8" t="s">
        <v>7045</v>
      </c>
      <c r="X1182" s="6"/>
      <c r="Y1182" s="6"/>
      <c r="Z1182" s="6"/>
      <c r="AA1182" s="6" t="s">
        <v>339</v>
      </c>
      <c r="AB1182" s="8"/>
    </row>
    <row r="1183" spans="1:28" s="4" customFormat="1" ht="42" customHeight="1">
      <c r="A1183" s="5">
        <v>0</v>
      </c>
      <c r="B1183" s="6" t="s">
        <v>7046</v>
      </c>
      <c r="C1183" s="7">
        <v>1198.5999999999999</v>
      </c>
      <c r="D1183" s="8" t="s">
        <v>7047</v>
      </c>
      <c r="E1183" s="8" t="s">
        <v>7048</v>
      </c>
      <c r="F1183" s="8"/>
      <c r="G1183" s="6" t="s">
        <v>1892</v>
      </c>
      <c r="H1183" s="6" t="s">
        <v>39</v>
      </c>
      <c r="I1183" s="8"/>
      <c r="J1183" s="9">
        <v>20</v>
      </c>
      <c r="K1183" s="9">
        <v>40</v>
      </c>
      <c r="L1183" s="9">
        <v>2017</v>
      </c>
      <c r="M1183" s="8"/>
      <c r="N1183" s="8" t="s">
        <v>42</v>
      </c>
      <c r="O1183" s="8" t="s">
        <v>246</v>
      </c>
      <c r="P1183" s="6" t="s">
        <v>183</v>
      </c>
      <c r="Q1183" s="8" t="s">
        <v>45</v>
      </c>
      <c r="R1183" s="10" t="s">
        <v>7049</v>
      </c>
      <c r="S1183" s="11"/>
      <c r="T1183" s="6"/>
      <c r="U1183" s="24" t="str">
        <f>HYPERLINK("https://media.infra-m.ru/0882/0882652/cover/882652.jpg", "Обложка")</f>
        <v>Обложка</v>
      </c>
      <c r="V1183" s="24" t="str">
        <f>HYPERLINK("https://znanium.ru/catalog/product/2212128", "Ознакомиться")</f>
        <v>Ознакомиться</v>
      </c>
      <c r="W1183" s="8"/>
      <c r="X1183" s="6"/>
      <c r="Y1183" s="6"/>
      <c r="Z1183" s="6"/>
      <c r="AA1183" s="6"/>
      <c r="AB1183" s="8"/>
    </row>
    <row r="1184" spans="1:28" s="4" customFormat="1" ht="42" customHeight="1">
      <c r="A1184" s="5">
        <v>0</v>
      </c>
      <c r="B1184" s="6" t="s">
        <v>7050</v>
      </c>
      <c r="C1184" s="7">
        <v>1195.9000000000001</v>
      </c>
      <c r="D1184" s="8" t="s">
        <v>7051</v>
      </c>
      <c r="E1184" s="8" t="s">
        <v>7052</v>
      </c>
      <c r="F1184" s="8"/>
      <c r="G1184" s="6" t="s">
        <v>38</v>
      </c>
      <c r="H1184" s="6" t="s">
        <v>39</v>
      </c>
      <c r="I1184" s="8"/>
      <c r="J1184" s="9">
        <v>20</v>
      </c>
      <c r="K1184" s="9">
        <v>68</v>
      </c>
      <c r="L1184" s="9">
        <v>2017</v>
      </c>
      <c r="M1184" s="8"/>
      <c r="N1184" s="8" t="s">
        <v>42</v>
      </c>
      <c r="O1184" s="8" t="s">
        <v>1002</v>
      </c>
      <c r="P1184" s="6" t="s">
        <v>183</v>
      </c>
      <c r="Q1184" s="8" t="s">
        <v>45</v>
      </c>
      <c r="R1184" s="10"/>
      <c r="S1184" s="11"/>
      <c r="T1184" s="6"/>
      <c r="U1184" s="24" t="str">
        <f>HYPERLINK("https://media.infra-m.ru/0882/0882671/cover/882671.jpg", "Обложка")</f>
        <v>Обложка</v>
      </c>
      <c r="V1184" s="24" t="str">
        <f>HYPERLINK("https://znanium.ru/catalog/product/2174196", "Ознакомиться")</f>
        <v>Ознакомиться</v>
      </c>
      <c r="W1184" s="8"/>
      <c r="X1184" s="6"/>
      <c r="Y1184" s="6"/>
      <c r="Z1184" s="6"/>
      <c r="AA1184" s="6"/>
      <c r="AB1184" s="8"/>
    </row>
    <row r="1185" spans="1:28" s="4" customFormat="1" ht="42" customHeight="1">
      <c r="A1185" s="5">
        <v>0</v>
      </c>
      <c r="B1185" s="6" t="s">
        <v>7053</v>
      </c>
      <c r="C1185" s="7">
        <v>1199.9000000000001</v>
      </c>
      <c r="D1185" s="8" t="s">
        <v>7054</v>
      </c>
      <c r="E1185" s="8" t="s">
        <v>7055</v>
      </c>
      <c r="F1185" s="8"/>
      <c r="G1185" s="6" t="s">
        <v>38</v>
      </c>
      <c r="H1185" s="6" t="s">
        <v>39</v>
      </c>
      <c r="I1185" s="8"/>
      <c r="J1185" s="9">
        <v>20</v>
      </c>
      <c r="K1185" s="9">
        <v>66</v>
      </c>
      <c r="L1185" s="9">
        <v>2017</v>
      </c>
      <c r="M1185" s="8"/>
      <c r="N1185" s="8" t="s">
        <v>42</v>
      </c>
      <c r="O1185" s="8" t="s">
        <v>189</v>
      </c>
      <c r="P1185" s="6" t="s">
        <v>183</v>
      </c>
      <c r="Q1185" s="8" t="s">
        <v>45</v>
      </c>
      <c r="R1185" s="10" t="s">
        <v>1100</v>
      </c>
      <c r="S1185" s="11"/>
      <c r="T1185" s="6"/>
      <c r="U1185" s="24" t="str">
        <f>HYPERLINK("https://media.infra-m.ru/0929/0929049/cover/929049.jpg", "Обложка")</f>
        <v>Обложка</v>
      </c>
      <c r="V1185" s="24" t="str">
        <f>HYPERLINK("https://znanium.ru/catalog/product/2174207", "Ознакомиться")</f>
        <v>Ознакомиться</v>
      </c>
      <c r="W1185" s="8"/>
      <c r="X1185" s="6"/>
      <c r="Y1185" s="6"/>
      <c r="Z1185" s="6"/>
      <c r="AA1185" s="6"/>
      <c r="AB1185" s="8"/>
    </row>
    <row r="1186" spans="1:28" s="4" customFormat="1" ht="42" customHeight="1">
      <c r="A1186" s="5">
        <v>0</v>
      </c>
      <c r="B1186" s="6" t="s">
        <v>7056</v>
      </c>
      <c r="C1186" s="7">
        <v>1198.5999999999999</v>
      </c>
      <c r="D1186" s="8" t="s">
        <v>7057</v>
      </c>
      <c r="E1186" s="8" t="s">
        <v>7058</v>
      </c>
      <c r="F1186" s="8"/>
      <c r="G1186" s="6" t="s">
        <v>38</v>
      </c>
      <c r="H1186" s="6" t="s">
        <v>39</v>
      </c>
      <c r="I1186" s="8"/>
      <c r="J1186" s="9">
        <v>20</v>
      </c>
      <c r="K1186" s="9">
        <v>66</v>
      </c>
      <c r="L1186" s="9">
        <v>2017</v>
      </c>
      <c r="M1186" s="8"/>
      <c r="N1186" s="8" t="s">
        <v>42</v>
      </c>
      <c r="O1186" s="8" t="s">
        <v>189</v>
      </c>
      <c r="P1186" s="6" t="s">
        <v>183</v>
      </c>
      <c r="Q1186" s="8" t="s">
        <v>45</v>
      </c>
      <c r="R1186" s="10"/>
      <c r="S1186" s="11"/>
      <c r="T1186" s="6"/>
      <c r="U1186" s="24" t="str">
        <f>HYPERLINK("https://media.infra-m.ru/0882/0882665/cover/882665.jpg", "Обложка")</f>
        <v>Обложка</v>
      </c>
      <c r="V1186" s="24" t="str">
        <f>HYPERLINK("https://znanium.ru/catalog/product/2174202", "Ознакомиться")</f>
        <v>Ознакомиться</v>
      </c>
      <c r="W1186" s="8"/>
      <c r="X1186" s="6"/>
      <c r="Y1186" s="6"/>
      <c r="Z1186" s="6"/>
      <c r="AA1186" s="6"/>
      <c r="AB1186" s="8"/>
    </row>
    <row r="1187" spans="1:28" s="4" customFormat="1" ht="51.95" customHeight="1">
      <c r="A1187" s="5">
        <v>0</v>
      </c>
      <c r="B1187" s="6" t="s">
        <v>7059</v>
      </c>
      <c r="C1187" s="13">
        <v>888</v>
      </c>
      <c r="D1187" s="8" t="s">
        <v>7060</v>
      </c>
      <c r="E1187" s="8" t="s">
        <v>7061</v>
      </c>
      <c r="F1187" s="8" t="s">
        <v>697</v>
      </c>
      <c r="G1187" s="6" t="s">
        <v>38</v>
      </c>
      <c r="H1187" s="6" t="s">
        <v>39</v>
      </c>
      <c r="I1187" s="8" t="s">
        <v>40</v>
      </c>
      <c r="J1187" s="9">
        <v>1</v>
      </c>
      <c r="K1187" s="9">
        <v>202</v>
      </c>
      <c r="L1187" s="9">
        <v>2020</v>
      </c>
      <c r="M1187" s="8" t="s">
        <v>7062</v>
      </c>
      <c r="N1187" s="8" t="s">
        <v>42</v>
      </c>
      <c r="O1187" s="8" t="s">
        <v>189</v>
      </c>
      <c r="P1187" s="6" t="s">
        <v>44</v>
      </c>
      <c r="Q1187" s="8" t="s">
        <v>45</v>
      </c>
      <c r="R1187" s="10" t="s">
        <v>7063</v>
      </c>
      <c r="S1187" s="11"/>
      <c r="T1187" s="6"/>
      <c r="U1187" s="24" t="str">
        <f>HYPERLINK("https://media.infra-m.ru/1031/1031663/cover/1031663.jpg", "Обложка")</f>
        <v>Обложка</v>
      </c>
      <c r="V1187" s="24" t="str">
        <f>HYPERLINK("https://znanium.ru/catalog/product/1031663", "Ознакомиться")</f>
        <v>Ознакомиться</v>
      </c>
      <c r="W1187" s="8" t="s">
        <v>699</v>
      </c>
      <c r="X1187" s="6"/>
      <c r="Y1187" s="6"/>
      <c r="Z1187" s="6"/>
      <c r="AA1187" s="6" t="s">
        <v>168</v>
      </c>
      <c r="AB1187" s="8"/>
    </row>
    <row r="1188" spans="1:28" s="4" customFormat="1" ht="42" customHeight="1">
      <c r="A1188" s="5">
        <v>0</v>
      </c>
      <c r="B1188" s="6" t="s">
        <v>7064</v>
      </c>
      <c r="C1188" s="7">
        <v>2212.8000000000002</v>
      </c>
      <c r="D1188" s="8" t="s">
        <v>7065</v>
      </c>
      <c r="E1188" s="8" t="s">
        <v>7066</v>
      </c>
      <c r="F1188" s="8" t="s">
        <v>7067</v>
      </c>
      <c r="G1188" s="6" t="s">
        <v>132</v>
      </c>
      <c r="H1188" s="6" t="s">
        <v>39</v>
      </c>
      <c r="I1188" s="8" t="s">
        <v>40</v>
      </c>
      <c r="J1188" s="9">
        <v>1</v>
      </c>
      <c r="K1188" s="9">
        <v>355</v>
      </c>
      <c r="L1188" s="9">
        <v>2025</v>
      </c>
      <c r="M1188" s="8" t="s">
        <v>7068</v>
      </c>
      <c r="N1188" s="8" t="s">
        <v>42</v>
      </c>
      <c r="O1188" s="8" t="s">
        <v>189</v>
      </c>
      <c r="P1188" s="6" t="s">
        <v>44</v>
      </c>
      <c r="Q1188" s="8" t="s">
        <v>45</v>
      </c>
      <c r="R1188" s="10" t="s">
        <v>2503</v>
      </c>
      <c r="S1188" s="11"/>
      <c r="T1188" s="6"/>
      <c r="U1188" s="24" t="str">
        <f>HYPERLINK("https://media.infra-m.ru/2173/2173479/cover/2173479.jpg", "Обложка")</f>
        <v>Обложка</v>
      </c>
      <c r="V1188" s="24" t="str">
        <f>HYPERLINK("https://znanium.ru/catalog/product/2078365", "Ознакомиться")</f>
        <v>Ознакомиться</v>
      </c>
      <c r="W1188" s="8" t="s">
        <v>1929</v>
      </c>
      <c r="X1188" s="6"/>
      <c r="Y1188" s="6"/>
      <c r="Z1188" s="6"/>
      <c r="AA1188" s="6" t="s">
        <v>725</v>
      </c>
      <c r="AB1188" s="8"/>
    </row>
    <row r="1189" spans="1:28" s="4" customFormat="1" ht="51.95" customHeight="1">
      <c r="A1189" s="5">
        <v>0</v>
      </c>
      <c r="B1189" s="6" t="s">
        <v>7069</v>
      </c>
      <c r="C1189" s="7">
        <v>1092</v>
      </c>
      <c r="D1189" s="8" t="s">
        <v>7070</v>
      </c>
      <c r="E1189" s="8" t="s">
        <v>7071</v>
      </c>
      <c r="F1189" s="8" t="s">
        <v>7072</v>
      </c>
      <c r="G1189" s="6" t="s">
        <v>132</v>
      </c>
      <c r="H1189" s="6" t="s">
        <v>39</v>
      </c>
      <c r="I1189" s="8" t="s">
        <v>40</v>
      </c>
      <c r="J1189" s="9">
        <v>1</v>
      </c>
      <c r="K1189" s="9">
        <v>176</v>
      </c>
      <c r="L1189" s="9">
        <v>2023</v>
      </c>
      <c r="M1189" s="8" t="s">
        <v>7073</v>
      </c>
      <c r="N1189" s="8" t="s">
        <v>42</v>
      </c>
      <c r="O1189" s="8" t="s">
        <v>189</v>
      </c>
      <c r="P1189" s="6" t="s">
        <v>44</v>
      </c>
      <c r="Q1189" s="8" t="s">
        <v>45</v>
      </c>
      <c r="R1189" s="10" t="s">
        <v>7074</v>
      </c>
      <c r="S1189" s="11"/>
      <c r="T1189" s="6"/>
      <c r="U1189" s="24" t="str">
        <f>HYPERLINK("https://media.infra-m.ru/2078/2078367/cover/2078367.jpg", "Обложка")</f>
        <v>Обложка</v>
      </c>
      <c r="V1189" s="24" t="str">
        <f>HYPERLINK("https://znanium.ru/catalog/product/2078367", "Ознакомиться")</f>
        <v>Ознакомиться</v>
      </c>
      <c r="W1189" s="8" t="s">
        <v>1929</v>
      </c>
      <c r="X1189" s="6"/>
      <c r="Y1189" s="6"/>
      <c r="Z1189" s="6"/>
      <c r="AA1189" s="6" t="s">
        <v>119</v>
      </c>
      <c r="AB1189" s="8"/>
    </row>
    <row r="1190" spans="1:28" s="4" customFormat="1" ht="42" customHeight="1">
      <c r="A1190" s="5">
        <v>0</v>
      </c>
      <c r="B1190" s="6" t="s">
        <v>7075</v>
      </c>
      <c r="C1190" s="7">
        <v>1980</v>
      </c>
      <c r="D1190" s="8" t="s">
        <v>7076</v>
      </c>
      <c r="E1190" s="8" t="s">
        <v>7077</v>
      </c>
      <c r="F1190" s="8" t="s">
        <v>7078</v>
      </c>
      <c r="G1190" s="6" t="s">
        <v>132</v>
      </c>
      <c r="H1190" s="6" t="s">
        <v>39</v>
      </c>
      <c r="I1190" s="8" t="s">
        <v>40</v>
      </c>
      <c r="J1190" s="9">
        <v>1</v>
      </c>
      <c r="K1190" s="9">
        <v>334</v>
      </c>
      <c r="L1190" s="9">
        <v>2023</v>
      </c>
      <c r="M1190" s="8" t="s">
        <v>7079</v>
      </c>
      <c r="N1190" s="8" t="s">
        <v>42</v>
      </c>
      <c r="O1190" s="8" t="s">
        <v>189</v>
      </c>
      <c r="P1190" s="6" t="s">
        <v>44</v>
      </c>
      <c r="Q1190" s="8" t="s">
        <v>45</v>
      </c>
      <c r="R1190" s="10" t="s">
        <v>1419</v>
      </c>
      <c r="S1190" s="11"/>
      <c r="T1190" s="6" t="s">
        <v>1080</v>
      </c>
      <c r="U1190" s="24" t="str">
        <f>HYPERLINK("https://media.infra-m.ru/1901/1901314/cover/1901314.jpg", "Обложка")</f>
        <v>Обложка</v>
      </c>
      <c r="V1190" s="24" t="str">
        <f>HYPERLINK("https://znanium.ru/catalog/product/1901314", "Ознакомиться")</f>
        <v>Ознакомиться</v>
      </c>
      <c r="W1190" s="8" t="s">
        <v>1929</v>
      </c>
      <c r="X1190" s="6"/>
      <c r="Y1190" s="6"/>
      <c r="Z1190" s="6"/>
      <c r="AA1190" s="6" t="s">
        <v>725</v>
      </c>
      <c r="AB1190" s="8"/>
    </row>
    <row r="1191" spans="1:28" s="4" customFormat="1" ht="42" customHeight="1">
      <c r="A1191" s="5">
        <v>0</v>
      </c>
      <c r="B1191" s="6" t="s">
        <v>7080</v>
      </c>
      <c r="C1191" s="7">
        <v>2004</v>
      </c>
      <c r="D1191" s="8" t="s">
        <v>7081</v>
      </c>
      <c r="E1191" s="8" t="s">
        <v>7082</v>
      </c>
      <c r="F1191" s="8" t="s">
        <v>7067</v>
      </c>
      <c r="G1191" s="6" t="s">
        <v>81</v>
      </c>
      <c r="H1191" s="6" t="s">
        <v>39</v>
      </c>
      <c r="I1191" s="8" t="s">
        <v>40</v>
      </c>
      <c r="J1191" s="9">
        <v>1</v>
      </c>
      <c r="K1191" s="9">
        <v>363</v>
      </c>
      <c r="L1191" s="9">
        <v>2023</v>
      </c>
      <c r="M1191" s="8" t="s">
        <v>7083</v>
      </c>
      <c r="N1191" s="8" t="s">
        <v>42</v>
      </c>
      <c r="O1191" s="8" t="s">
        <v>189</v>
      </c>
      <c r="P1191" s="6" t="s">
        <v>580</v>
      </c>
      <c r="Q1191" s="8" t="s">
        <v>45</v>
      </c>
      <c r="R1191" s="10" t="s">
        <v>2503</v>
      </c>
      <c r="S1191" s="11"/>
      <c r="T1191" s="6"/>
      <c r="U1191" s="24" t="str">
        <f>HYPERLINK("https://media.infra-m.ru/1896/1896439/cover/1896439.jpg", "Обложка")</f>
        <v>Обложка</v>
      </c>
      <c r="V1191" s="24" t="str">
        <f>HYPERLINK("https://znanium.ru/catalog/product/2078365", "Ознакомиться")</f>
        <v>Ознакомиться</v>
      </c>
      <c r="W1191" s="8" t="s">
        <v>1929</v>
      </c>
      <c r="X1191" s="6"/>
      <c r="Y1191" s="6"/>
      <c r="Z1191" s="6"/>
      <c r="AA1191" s="6" t="s">
        <v>369</v>
      </c>
      <c r="AB1191" s="8"/>
    </row>
    <row r="1192" spans="1:28" s="4" customFormat="1" ht="42" customHeight="1">
      <c r="A1192" s="5">
        <v>0</v>
      </c>
      <c r="B1192" s="6" t="s">
        <v>7084</v>
      </c>
      <c r="C1192" s="7">
        <v>2256</v>
      </c>
      <c r="D1192" s="8" t="s">
        <v>7085</v>
      </c>
      <c r="E1192" s="8" t="s">
        <v>7086</v>
      </c>
      <c r="F1192" s="8" t="s">
        <v>7087</v>
      </c>
      <c r="G1192" s="6" t="s">
        <v>132</v>
      </c>
      <c r="H1192" s="6" t="s">
        <v>39</v>
      </c>
      <c r="I1192" s="8" t="s">
        <v>40</v>
      </c>
      <c r="J1192" s="9">
        <v>1</v>
      </c>
      <c r="K1192" s="9">
        <v>409</v>
      </c>
      <c r="L1192" s="9">
        <v>2022</v>
      </c>
      <c r="M1192" s="8" t="s">
        <v>7088</v>
      </c>
      <c r="N1192" s="8" t="s">
        <v>42</v>
      </c>
      <c r="O1192" s="8" t="s">
        <v>189</v>
      </c>
      <c r="P1192" s="6" t="s">
        <v>44</v>
      </c>
      <c r="Q1192" s="8" t="s">
        <v>45</v>
      </c>
      <c r="R1192" s="10" t="s">
        <v>1419</v>
      </c>
      <c r="S1192" s="11"/>
      <c r="T1192" s="6" t="s">
        <v>1080</v>
      </c>
      <c r="U1192" s="24" t="str">
        <f>HYPERLINK("https://media.infra-m.ru/1864/1864103/cover/1864103.jpg", "Обложка")</f>
        <v>Обложка</v>
      </c>
      <c r="V1192" s="24" t="str">
        <f>HYPERLINK("https://znanium.ru/catalog/product/1901314", "Ознакомиться")</f>
        <v>Ознакомиться</v>
      </c>
      <c r="W1192" s="8" t="s">
        <v>1929</v>
      </c>
      <c r="X1192" s="6"/>
      <c r="Y1192" s="6"/>
      <c r="Z1192" s="6"/>
      <c r="AA1192" s="6" t="s">
        <v>199</v>
      </c>
      <c r="AB1192" s="8"/>
    </row>
    <row r="1193" spans="1:28" s="4" customFormat="1" ht="51.95" customHeight="1">
      <c r="A1193" s="5">
        <v>0</v>
      </c>
      <c r="B1193" s="6" t="s">
        <v>7089</v>
      </c>
      <c r="C1193" s="7">
        <v>1092</v>
      </c>
      <c r="D1193" s="8" t="s">
        <v>7090</v>
      </c>
      <c r="E1193" s="8" t="s">
        <v>7091</v>
      </c>
      <c r="F1193" s="8" t="s">
        <v>7092</v>
      </c>
      <c r="G1193" s="6" t="s">
        <v>38</v>
      </c>
      <c r="H1193" s="6" t="s">
        <v>39</v>
      </c>
      <c r="I1193" s="8" t="s">
        <v>40</v>
      </c>
      <c r="J1193" s="9">
        <v>1</v>
      </c>
      <c r="K1193" s="9">
        <v>188</v>
      </c>
      <c r="L1193" s="9">
        <v>2024</v>
      </c>
      <c r="M1193" s="8" t="s">
        <v>7093</v>
      </c>
      <c r="N1193" s="8" t="s">
        <v>42</v>
      </c>
      <c r="O1193" s="8" t="s">
        <v>189</v>
      </c>
      <c r="P1193" s="6" t="s">
        <v>44</v>
      </c>
      <c r="Q1193" s="8" t="s">
        <v>45</v>
      </c>
      <c r="R1193" s="10" t="s">
        <v>7094</v>
      </c>
      <c r="S1193" s="11"/>
      <c r="T1193" s="6"/>
      <c r="U1193" s="24" t="str">
        <f>HYPERLINK("https://media.infra-m.ru/2021/2021345/cover/2021345.jpg", "Обложка")</f>
        <v>Обложка</v>
      </c>
      <c r="V1193" s="24" t="str">
        <f>HYPERLINK("https://znanium.ru/catalog/product/2021345", "Ознакомиться")</f>
        <v>Ознакомиться</v>
      </c>
      <c r="W1193" s="8" t="s">
        <v>3412</v>
      </c>
      <c r="X1193" s="6"/>
      <c r="Y1193" s="6"/>
      <c r="Z1193" s="6"/>
      <c r="AA1193" s="6" t="s">
        <v>58</v>
      </c>
      <c r="AB1193" s="8"/>
    </row>
    <row r="1194" spans="1:28" s="4" customFormat="1" ht="44.1" customHeight="1">
      <c r="A1194" s="5">
        <v>0</v>
      </c>
      <c r="B1194" s="6" t="s">
        <v>7095</v>
      </c>
      <c r="C1194" s="7">
        <v>1768.8</v>
      </c>
      <c r="D1194" s="8" t="s">
        <v>7096</v>
      </c>
      <c r="E1194" s="8" t="s">
        <v>7097</v>
      </c>
      <c r="F1194" s="8" t="s">
        <v>7098</v>
      </c>
      <c r="G1194" s="6" t="s">
        <v>132</v>
      </c>
      <c r="H1194" s="6" t="s">
        <v>39</v>
      </c>
      <c r="I1194" s="8"/>
      <c r="J1194" s="9">
        <v>1</v>
      </c>
      <c r="K1194" s="9">
        <v>280</v>
      </c>
      <c r="L1194" s="9">
        <v>2026</v>
      </c>
      <c r="M1194" s="8" t="s">
        <v>7099</v>
      </c>
      <c r="N1194" s="8" t="s">
        <v>42</v>
      </c>
      <c r="O1194" s="8" t="s">
        <v>189</v>
      </c>
      <c r="P1194" s="6" t="s">
        <v>44</v>
      </c>
      <c r="Q1194" s="8" t="s">
        <v>45</v>
      </c>
      <c r="R1194" s="10" t="s">
        <v>190</v>
      </c>
      <c r="S1194" s="11"/>
      <c r="T1194" s="6"/>
      <c r="U1194" s="24" t="str">
        <f>HYPERLINK("https://media.infra-m.ru/2212/2212243/cover/2212243.jpg", "Обложка")</f>
        <v>Обложка</v>
      </c>
      <c r="V1194" s="24" t="str">
        <f>HYPERLINK("https://znanium.ru/catalog/product/2075138", "Ознакомиться")</f>
        <v>Ознакомиться</v>
      </c>
      <c r="W1194" s="8" t="s">
        <v>223</v>
      </c>
      <c r="X1194" s="6"/>
      <c r="Y1194" s="6"/>
      <c r="Z1194" s="6"/>
      <c r="AA1194" s="6" t="s">
        <v>119</v>
      </c>
      <c r="AB1194" s="8"/>
    </row>
    <row r="1195" spans="1:28" s="4" customFormat="1" ht="51.95" customHeight="1">
      <c r="A1195" s="5">
        <v>0</v>
      </c>
      <c r="B1195" s="6" t="s">
        <v>7100</v>
      </c>
      <c r="C1195" s="7">
        <v>1716</v>
      </c>
      <c r="D1195" s="8" t="s">
        <v>7101</v>
      </c>
      <c r="E1195" s="8" t="s">
        <v>7102</v>
      </c>
      <c r="F1195" s="8" t="s">
        <v>7103</v>
      </c>
      <c r="G1195" s="6" t="s">
        <v>132</v>
      </c>
      <c r="H1195" s="6" t="s">
        <v>99</v>
      </c>
      <c r="I1195" s="8"/>
      <c r="J1195" s="9">
        <v>1</v>
      </c>
      <c r="K1195" s="9">
        <v>268</v>
      </c>
      <c r="L1195" s="9">
        <v>2026</v>
      </c>
      <c r="M1195" s="8" t="s">
        <v>7104</v>
      </c>
      <c r="N1195" s="8" t="s">
        <v>42</v>
      </c>
      <c r="O1195" s="8" t="s">
        <v>101</v>
      </c>
      <c r="P1195" s="6" t="s">
        <v>44</v>
      </c>
      <c r="Q1195" s="8" t="s">
        <v>45</v>
      </c>
      <c r="R1195" s="10" t="s">
        <v>7105</v>
      </c>
      <c r="S1195" s="11"/>
      <c r="T1195" s="6"/>
      <c r="U1195" s="24" t="str">
        <f>HYPERLINK("https://media.infra-m.ru/2192/2192056/cover/2192056.jpg", "Обложка")</f>
        <v>Обложка</v>
      </c>
      <c r="V1195" s="24" t="str">
        <f>HYPERLINK("https://znanium.ru/catalog/product/2192056", "Ознакомиться")</f>
        <v>Ознакомиться</v>
      </c>
      <c r="W1195" s="8" t="s">
        <v>103</v>
      </c>
      <c r="X1195" s="6" t="s">
        <v>832</v>
      </c>
      <c r="Y1195" s="6"/>
      <c r="Z1195" s="6"/>
      <c r="AA1195" s="6" t="s">
        <v>833</v>
      </c>
      <c r="AB1195" s="8"/>
    </row>
    <row r="1196" spans="1:28" s="4" customFormat="1" ht="42" customHeight="1">
      <c r="A1196" s="5">
        <v>0</v>
      </c>
      <c r="B1196" s="6" t="s">
        <v>7106</v>
      </c>
      <c r="C1196" s="7">
        <v>2716.8</v>
      </c>
      <c r="D1196" s="8" t="s">
        <v>7107</v>
      </c>
      <c r="E1196" s="8" t="s">
        <v>7108</v>
      </c>
      <c r="F1196" s="8" t="s">
        <v>7109</v>
      </c>
      <c r="G1196" s="6" t="s">
        <v>132</v>
      </c>
      <c r="H1196" s="6" t="s">
        <v>39</v>
      </c>
      <c r="I1196" s="8" t="s">
        <v>40</v>
      </c>
      <c r="J1196" s="9">
        <v>1</v>
      </c>
      <c r="K1196" s="9">
        <v>436</v>
      </c>
      <c r="L1196" s="9">
        <v>2026</v>
      </c>
      <c r="M1196" s="8" t="s">
        <v>7110</v>
      </c>
      <c r="N1196" s="8" t="s">
        <v>42</v>
      </c>
      <c r="O1196" s="8" t="s">
        <v>189</v>
      </c>
      <c r="P1196" s="6" t="s">
        <v>44</v>
      </c>
      <c r="Q1196" s="8" t="s">
        <v>45</v>
      </c>
      <c r="R1196" s="10" t="s">
        <v>1426</v>
      </c>
      <c r="S1196" s="11"/>
      <c r="T1196" s="6"/>
      <c r="U1196" s="24" t="str">
        <f>HYPERLINK("https://media.infra-m.ru/2214/2214484/cover/2214484.jpg", "Обложка")</f>
        <v>Обложка</v>
      </c>
      <c r="V1196" s="24" t="str">
        <f>HYPERLINK("https://znanium.ru/catalog/product/2161364", "Ознакомиться")</f>
        <v>Ознакомиться</v>
      </c>
      <c r="W1196" s="8" t="s">
        <v>191</v>
      </c>
      <c r="X1196" s="6"/>
      <c r="Y1196" s="6"/>
      <c r="Z1196" s="6"/>
      <c r="AA1196" s="6" t="s">
        <v>119</v>
      </c>
      <c r="AB1196" s="8"/>
    </row>
    <row r="1197" spans="1:28" s="4" customFormat="1" ht="42" customHeight="1">
      <c r="A1197" s="5">
        <v>0</v>
      </c>
      <c r="B1197" s="6" t="s">
        <v>7111</v>
      </c>
      <c r="C1197" s="7">
        <v>2212.8000000000002</v>
      </c>
      <c r="D1197" s="8" t="s">
        <v>7112</v>
      </c>
      <c r="E1197" s="8" t="s">
        <v>7113</v>
      </c>
      <c r="F1197" s="8" t="s">
        <v>7114</v>
      </c>
      <c r="G1197" s="6" t="s">
        <v>132</v>
      </c>
      <c r="H1197" s="6" t="s">
        <v>571</v>
      </c>
      <c r="I1197" s="8" t="s">
        <v>7115</v>
      </c>
      <c r="J1197" s="9">
        <v>1</v>
      </c>
      <c r="K1197" s="9">
        <v>368</v>
      </c>
      <c r="L1197" s="9">
        <v>2023</v>
      </c>
      <c r="M1197" s="8" t="s">
        <v>7116</v>
      </c>
      <c r="N1197" s="8" t="s">
        <v>42</v>
      </c>
      <c r="O1197" s="8" t="s">
        <v>189</v>
      </c>
      <c r="P1197" s="6" t="s">
        <v>580</v>
      </c>
      <c r="Q1197" s="8" t="s">
        <v>45</v>
      </c>
      <c r="R1197" s="10" t="s">
        <v>7117</v>
      </c>
      <c r="S1197" s="11"/>
      <c r="T1197" s="6"/>
      <c r="U1197" s="24" t="str">
        <f>HYPERLINK("https://media.infra-m.ru/2018/2018244/cover/2018244.jpg", "Обложка")</f>
        <v>Обложка</v>
      </c>
      <c r="V1197" s="24" t="str">
        <f>HYPERLINK("https://znanium.ru/catalog/product/449418", "Ознакомиться")</f>
        <v>Ознакомиться</v>
      </c>
      <c r="W1197" s="8" t="s">
        <v>223</v>
      </c>
      <c r="X1197" s="6"/>
      <c r="Y1197" s="6"/>
      <c r="Z1197" s="6"/>
      <c r="AA1197" s="6" t="s">
        <v>290</v>
      </c>
      <c r="AB1197" s="8"/>
    </row>
    <row r="1198" spans="1:28" s="4" customFormat="1" ht="51.95" customHeight="1">
      <c r="A1198" s="5">
        <v>0</v>
      </c>
      <c r="B1198" s="6" t="s">
        <v>7118</v>
      </c>
      <c r="C1198" s="7">
        <v>3616.8</v>
      </c>
      <c r="D1198" s="8" t="s">
        <v>7119</v>
      </c>
      <c r="E1198" s="8" t="s">
        <v>7120</v>
      </c>
      <c r="F1198" s="8" t="s">
        <v>7121</v>
      </c>
      <c r="G1198" s="6" t="s">
        <v>132</v>
      </c>
      <c r="H1198" s="6" t="s">
        <v>3369</v>
      </c>
      <c r="I1198" s="8"/>
      <c r="J1198" s="9">
        <v>1</v>
      </c>
      <c r="K1198" s="9">
        <v>882</v>
      </c>
      <c r="L1198" s="9">
        <v>2026</v>
      </c>
      <c r="M1198" s="8" t="s">
        <v>7122</v>
      </c>
      <c r="N1198" s="8" t="s">
        <v>42</v>
      </c>
      <c r="O1198" s="8" t="s">
        <v>189</v>
      </c>
      <c r="P1198" s="6" t="s">
        <v>3397</v>
      </c>
      <c r="Q1198" s="8" t="s">
        <v>287</v>
      </c>
      <c r="R1198" s="10" t="s">
        <v>5306</v>
      </c>
      <c r="S1198" s="11"/>
      <c r="T1198" s="6"/>
      <c r="U1198" s="24" t="str">
        <f>HYPERLINK("https://media.infra-m.ru/2222/2222979/cover/2222979.jpg", "Обложка")</f>
        <v>Обложка</v>
      </c>
      <c r="V1198" s="24" t="str">
        <f>HYPERLINK("https://znanium.ru/catalog/product/1059305", "Ознакомиться")</f>
        <v>Ознакомиться</v>
      </c>
      <c r="W1198" s="8" t="s">
        <v>361</v>
      </c>
      <c r="X1198" s="6"/>
      <c r="Y1198" s="6"/>
      <c r="Z1198" s="6"/>
      <c r="AA1198" s="6" t="s">
        <v>7123</v>
      </c>
      <c r="AB1198" s="8"/>
    </row>
    <row r="1199" spans="1:28" s="4" customFormat="1" ht="51.95" customHeight="1">
      <c r="A1199" s="5">
        <v>0</v>
      </c>
      <c r="B1199" s="6" t="s">
        <v>7124</v>
      </c>
      <c r="C1199" s="7">
        <v>1192.8</v>
      </c>
      <c r="D1199" s="8" t="s">
        <v>7125</v>
      </c>
      <c r="E1199" s="8" t="s">
        <v>7126</v>
      </c>
      <c r="F1199" s="8" t="s">
        <v>7127</v>
      </c>
      <c r="G1199" s="6" t="s">
        <v>81</v>
      </c>
      <c r="H1199" s="6" t="s">
        <v>99</v>
      </c>
      <c r="I1199" s="8"/>
      <c r="J1199" s="9">
        <v>1</v>
      </c>
      <c r="K1199" s="9">
        <v>192</v>
      </c>
      <c r="L1199" s="9">
        <v>2025</v>
      </c>
      <c r="M1199" s="8" t="s">
        <v>7128</v>
      </c>
      <c r="N1199" s="8" t="s">
        <v>42</v>
      </c>
      <c r="O1199" s="8" t="s">
        <v>101</v>
      </c>
      <c r="P1199" s="6" t="s">
        <v>44</v>
      </c>
      <c r="Q1199" s="8" t="s">
        <v>45</v>
      </c>
      <c r="R1199" s="10" t="s">
        <v>7129</v>
      </c>
      <c r="S1199" s="11"/>
      <c r="T1199" s="6"/>
      <c r="U1199" s="24" t="str">
        <f>HYPERLINK("https://media.infra-m.ru/2192/2192711/cover/2192711.jpg", "Обложка")</f>
        <v>Обложка</v>
      </c>
      <c r="V1199" s="24" t="str">
        <f>HYPERLINK("https://znanium.ru/catalog/product/2073365", "Ознакомиться")</f>
        <v>Ознакомиться</v>
      </c>
      <c r="W1199" s="8" t="s">
        <v>103</v>
      </c>
      <c r="X1199" s="6"/>
      <c r="Y1199" s="6"/>
      <c r="Z1199" s="6"/>
      <c r="AA1199" s="6" t="s">
        <v>199</v>
      </c>
      <c r="AB1199" s="8"/>
    </row>
    <row r="1200" spans="1:28" s="4" customFormat="1" ht="51.95" customHeight="1">
      <c r="A1200" s="5">
        <v>0</v>
      </c>
      <c r="B1200" s="6" t="s">
        <v>7130</v>
      </c>
      <c r="C1200" s="7">
        <v>1680</v>
      </c>
      <c r="D1200" s="8" t="s">
        <v>7131</v>
      </c>
      <c r="E1200" s="8" t="s">
        <v>7132</v>
      </c>
      <c r="F1200" s="8" t="s">
        <v>7133</v>
      </c>
      <c r="G1200" s="6" t="s">
        <v>38</v>
      </c>
      <c r="H1200" s="6" t="s">
        <v>39</v>
      </c>
      <c r="I1200" s="8" t="s">
        <v>40</v>
      </c>
      <c r="J1200" s="9">
        <v>1</v>
      </c>
      <c r="K1200" s="9">
        <v>304</v>
      </c>
      <c r="L1200" s="9">
        <v>2024</v>
      </c>
      <c r="M1200" s="8" t="s">
        <v>7134</v>
      </c>
      <c r="N1200" s="8" t="s">
        <v>42</v>
      </c>
      <c r="O1200" s="8" t="s">
        <v>1035</v>
      </c>
      <c r="P1200" s="6" t="s">
        <v>44</v>
      </c>
      <c r="Q1200" s="8" t="s">
        <v>45</v>
      </c>
      <c r="R1200" s="10" t="s">
        <v>7135</v>
      </c>
      <c r="S1200" s="11"/>
      <c r="T1200" s="6"/>
      <c r="U1200" s="24" t="str">
        <f>HYPERLINK("https://media.infra-m.ru/2117/2117113/cover/2117113.jpg", "Обложка")</f>
        <v>Обложка</v>
      </c>
      <c r="V1200" s="24" t="str">
        <f>HYPERLINK("https://znanium.ru/catalog/product/2117113", "Ознакомиться")</f>
        <v>Ознакомиться</v>
      </c>
      <c r="W1200" s="8" t="s">
        <v>7136</v>
      </c>
      <c r="X1200" s="6"/>
      <c r="Y1200" s="6"/>
      <c r="Z1200" s="6"/>
      <c r="AA1200" s="6" t="s">
        <v>94</v>
      </c>
      <c r="AB1200" s="8"/>
    </row>
    <row r="1201" spans="1:28" s="4" customFormat="1" ht="42" customHeight="1">
      <c r="A1201" s="5">
        <v>0</v>
      </c>
      <c r="B1201" s="6" t="s">
        <v>7137</v>
      </c>
      <c r="C1201" s="7">
        <v>1176</v>
      </c>
      <c r="D1201" s="8" t="s">
        <v>7138</v>
      </c>
      <c r="E1201" s="8" t="s">
        <v>7139</v>
      </c>
      <c r="F1201" s="8" t="s">
        <v>7140</v>
      </c>
      <c r="G1201" s="6" t="s">
        <v>132</v>
      </c>
      <c r="H1201" s="6" t="s">
        <v>39</v>
      </c>
      <c r="I1201" s="8" t="s">
        <v>40</v>
      </c>
      <c r="J1201" s="9">
        <v>1</v>
      </c>
      <c r="K1201" s="9">
        <v>181</v>
      </c>
      <c r="L1201" s="9">
        <v>2024</v>
      </c>
      <c r="M1201" s="8" t="s">
        <v>7141</v>
      </c>
      <c r="N1201" s="8" t="s">
        <v>229</v>
      </c>
      <c r="O1201" s="8" t="s">
        <v>230</v>
      </c>
      <c r="P1201" s="6" t="s">
        <v>44</v>
      </c>
      <c r="Q1201" s="8" t="s">
        <v>45</v>
      </c>
      <c r="R1201" s="10" t="s">
        <v>2233</v>
      </c>
      <c r="S1201" s="11"/>
      <c r="T1201" s="6"/>
      <c r="U1201" s="24" t="str">
        <f>HYPERLINK("https://media.infra-m.ru/2148/2148761/cover/2148761.jpg", "Обложка")</f>
        <v>Обложка</v>
      </c>
      <c r="V1201" s="24" t="str">
        <f>HYPERLINK("https://znanium.ru/catalog/product/2148761", "Ознакомиться")</f>
        <v>Ознакомиться</v>
      </c>
      <c r="W1201" s="8" t="s">
        <v>7142</v>
      </c>
      <c r="X1201" s="6"/>
      <c r="Y1201" s="6"/>
      <c r="Z1201" s="6"/>
      <c r="AA1201" s="6" t="s">
        <v>58</v>
      </c>
      <c r="AB1201" s="8"/>
    </row>
    <row r="1202" spans="1:28" s="4" customFormat="1" ht="42" customHeight="1">
      <c r="A1202" s="5">
        <v>0</v>
      </c>
      <c r="B1202" s="6" t="s">
        <v>7143</v>
      </c>
      <c r="C1202" s="7">
        <v>2388</v>
      </c>
      <c r="D1202" s="8" t="s">
        <v>7144</v>
      </c>
      <c r="E1202" s="8" t="s">
        <v>7145</v>
      </c>
      <c r="F1202" s="8" t="s">
        <v>7146</v>
      </c>
      <c r="G1202" s="6" t="s">
        <v>38</v>
      </c>
      <c r="H1202" s="6" t="s">
        <v>39</v>
      </c>
      <c r="I1202" s="8" t="s">
        <v>164</v>
      </c>
      <c r="J1202" s="9">
        <v>1</v>
      </c>
      <c r="K1202" s="9">
        <v>446</v>
      </c>
      <c r="L1202" s="9">
        <v>2022</v>
      </c>
      <c r="M1202" s="8" t="s">
        <v>7147</v>
      </c>
      <c r="N1202" s="8" t="s">
        <v>42</v>
      </c>
      <c r="O1202" s="8" t="s">
        <v>189</v>
      </c>
      <c r="P1202" s="6" t="s">
        <v>44</v>
      </c>
      <c r="Q1202" s="8" t="s">
        <v>45</v>
      </c>
      <c r="R1202" s="10" t="s">
        <v>1426</v>
      </c>
      <c r="S1202" s="11"/>
      <c r="T1202" s="6"/>
      <c r="U1202" s="24" t="str">
        <f>HYPERLINK("https://media.infra-m.ru/1862/1862597/cover/1862597.jpg", "Обложка")</f>
        <v>Обложка</v>
      </c>
      <c r="V1202" s="24" t="str">
        <f>HYPERLINK("https://znanium.ru/catalog/product/1862597", "Ознакомиться")</f>
        <v>Ознакомиться</v>
      </c>
      <c r="W1202" s="8" t="s">
        <v>167</v>
      </c>
      <c r="X1202" s="6"/>
      <c r="Y1202" s="6"/>
      <c r="Z1202" s="6"/>
      <c r="AA1202" s="6" t="s">
        <v>111</v>
      </c>
      <c r="AB1202" s="8"/>
    </row>
    <row r="1203" spans="1:28" s="4" customFormat="1" ht="42" customHeight="1">
      <c r="A1203" s="5">
        <v>0</v>
      </c>
      <c r="B1203" s="6" t="s">
        <v>7148</v>
      </c>
      <c r="C1203" s="7">
        <v>1476</v>
      </c>
      <c r="D1203" s="8" t="s">
        <v>7149</v>
      </c>
      <c r="E1203" s="8" t="s">
        <v>7150</v>
      </c>
      <c r="F1203" s="8" t="s">
        <v>4526</v>
      </c>
      <c r="G1203" s="6" t="s">
        <v>132</v>
      </c>
      <c r="H1203" s="6" t="s">
        <v>39</v>
      </c>
      <c r="I1203" s="8" t="s">
        <v>40</v>
      </c>
      <c r="J1203" s="9">
        <v>1</v>
      </c>
      <c r="K1203" s="9">
        <v>217</v>
      </c>
      <c r="L1203" s="9">
        <v>2025</v>
      </c>
      <c r="M1203" s="8" t="s">
        <v>7151</v>
      </c>
      <c r="N1203" s="8" t="s">
        <v>284</v>
      </c>
      <c r="O1203" s="8" t="s">
        <v>2265</v>
      </c>
      <c r="P1203" s="6" t="s">
        <v>44</v>
      </c>
      <c r="Q1203" s="8" t="s">
        <v>45</v>
      </c>
      <c r="R1203" s="10" t="s">
        <v>7152</v>
      </c>
      <c r="S1203" s="11"/>
      <c r="T1203" s="6"/>
      <c r="U1203" s="24" t="str">
        <f>HYPERLINK("https://media.infra-m.ru/2195/2195508/cover/2195508.jpg", "Обложка")</f>
        <v>Обложка</v>
      </c>
      <c r="V1203" s="24" t="str">
        <f>HYPERLINK("https://znanium.ru/catalog/product/2195508", "Ознакомиться")</f>
        <v>Ознакомиться</v>
      </c>
      <c r="W1203" s="8" t="s">
        <v>289</v>
      </c>
      <c r="X1203" s="6" t="s">
        <v>492</v>
      </c>
      <c r="Y1203" s="6"/>
      <c r="Z1203" s="6"/>
      <c r="AA1203" s="6" t="s">
        <v>159</v>
      </c>
      <c r="AB1203" s="8"/>
    </row>
    <row r="1204" spans="1:28" s="4" customFormat="1" ht="44.1" customHeight="1">
      <c r="A1204" s="5">
        <v>0</v>
      </c>
      <c r="B1204" s="6" t="s">
        <v>7153</v>
      </c>
      <c r="C1204" s="13">
        <v>876</v>
      </c>
      <c r="D1204" s="8" t="s">
        <v>7154</v>
      </c>
      <c r="E1204" s="8" t="s">
        <v>7155</v>
      </c>
      <c r="F1204" s="8" t="s">
        <v>7156</v>
      </c>
      <c r="G1204" s="6" t="s">
        <v>81</v>
      </c>
      <c r="H1204" s="6" t="s">
        <v>1019</v>
      </c>
      <c r="I1204" s="8" t="s">
        <v>1020</v>
      </c>
      <c r="J1204" s="9">
        <v>1</v>
      </c>
      <c r="K1204" s="9">
        <v>187</v>
      </c>
      <c r="L1204" s="9">
        <v>2022</v>
      </c>
      <c r="M1204" s="8" t="s">
        <v>7157</v>
      </c>
      <c r="N1204" s="8" t="s">
        <v>42</v>
      </c>
      <c r="O1204" s="8" t="s">
        <v>1002</v>
      </c>
      <c r="P1204" s="6" t="s">
        <v>44</v>
      </c>
      <c r="Q1204" s="8" t="s">
        <v>1152</v>
      </c>
      <c r="R1204" s="10" t="s">
        <v>7158</v>
      </c>
      <c r="S1204" s="11"/>
      <c r="T1204" s="6"/>
      <c r="U1204" s="24" t="str">
        <f>HYPERLINK("https://media.infra-m.ru/1836/1836583/cover/1836583.jpg", "Обложка")</f>
        <v>Обложка</v>
      </c>
      <c r="V1204" s="24" t="str">
        <f>HYPERLINK("https://znanium.ru/catalog/product/1836583", "Ознакомиться")</f>
        <v>Ознакомиться</v>
      </c>
      <c r="W1204" s="8" t="s">
        <v>7159</v>
      </c>
      <c r="X1204" s="6"/>
      <c r="Y1204" s="6"/>
      <c r="Z1204" s="6"/>
      <c r="AA1204" s="6" t="s">
        <v>339</v>
      </c>
      <c r="AB1204" s="8"/>
    </row>
    <row r="1205" spans="1:28" s="4" customFormat="1" ht="51.95" customHeight="1">
      <c r="A1205" s="5">
        <v>0</v>
      </c>
      <c r="B1205" s="6" t="s">
        <v>7160</v>
      </c>
      <c r="C1205" s="7">
        <v>1260</v>
      </c>
      <c r="D1205" s="8" t="s">
        <v>7161</v>
      </c>
      <c r="E1205" s="8" t="s">
        <v>7162</v>
      </c>
      <c r="F1205" s="8" t="s">
        <v>7163</v>
      </c>
      <c r="G1205" s="6" t="s">
        <v>81</v>
      </c>
      <c r="H1205" s="6" t="s">
        <v>39</v>
      </c>
      <c r="I1205" s="8" t="s">
        <v>40</v>
      </c>
      <c r="J1205" s="9">
        <v>1</v>
      </c>
      <c r="K1205" s="9">
        <v>209</v>
      </c>
      <c r="L1205" s="9">
        <v>2025</v>
      </c>
      <c r="M1205" s="8" t="s">
        <v>7164</v>
      </c>
      <c r="N1205" s="8" t="s">
        <v>42</v>
      </c>
      <c r="O1205" s="8" t="s">
        <v>189</v>
      </c>
      <c r="P1205" s="6" t="s">
        <v>44</v>
      </c>
      <c r="Q1205" s="8" t="s">
        <v>45</v>
      </c>
      <c r="R1205" s="10" t="s">
        <v>7165</v>
      </c>
      <c r="S1205" s="11"/>
      <c r="T1205" s="6"/>
      <c r="U1205" s="24" t="str">
        <f>HYPERLINK("https://media.infra-m.ru/2160/2160646/cover/2160646.jpg", "Обложка")</f>
        <v>Обложка</v>
      </c>
      <c r="V1205" s="24" t="str">
        <f>HYPERLINK("https://znanium.ru/catalog/product/2160646", "Ознакомиться")</f>
        <v>Ознакомиться</v>
      </c>
      <c r="W1205" s="8" t="s">
        <v>305</v>
      </c>
      <c r="X1205" s="6"/>
      <c r="Y1205" s="6"/>
      <c r="Z1205" s="6"/>
      <c r="AA1205" s="6" t="s">
        <v>119</v>
      </c>
      <c r="AB1205" s="8"/>
    </row>
    <row r="1206" spans="1:28" s="4" customFormat="1" ht="44.1" customHeight="1">
      <c r="A1206" s="5">
        <v>0</v>
      </c>
      <c r="B1206" s="6" t="s">
        <v>7166</v>
      </c>
      <c r="C1206" s="7">
        <v>1800</v>
      </c>
      <c r="D1206" s="8" t="s">
        <v>7167</v>
      </c>
      <c r="E1206" s="8" t="s">
        <v>7168</v>
      </c>
      <c r="F1206" s="8" t="s">
        <v>7169</v>
      </c>
      <c r="G1206" s="6" t="s">
        <v>132</v>
      </c>
      <c r="H1206" s="6" t="s">
        <v>39</v>
      </c>
      <c r="I1206" s="8" t="s">
        <v>40</v>
      </c>
      <c r="J1206" s="9">
        <v>1</v>
      </c>
      <c r="K1206" s="9">
        <v>287</v>
      </c>
      <c r="L1206" s="9">
        <v>2024</v>
      </c>
      <c r="M1206" s="8" t="s">
        <v>7170</v>
      </c>
      <c r="N1206" s="8" t="s">
        <v>42</v>
      </c>
      <c r="O1206" s="8" t="s">
        <v>189</v>
      </c>
      <c r="P1206" s="6" t="s">
        <v>44</v>
      </c>
      <c r="Q1206" s="8" t="s">
        <v>45</v>
      </c>
      <c r="R1206" s="10" t="s">
        <v>5007</v>
      </c>
      <c r="S1206" s="11"/>
      <c r="T1206" s="6"/>
      <c r="U1206" s="24" t="str">
        <f>HYPERLINK("https://media.infra-m.ru/2141/2141612/cover/2141612.jpg", "Обложка")</f>
        <v>Обложка</v>
      </c>
      <c r="V1206" s="24" t="str">
        <f>HYPERLINK("https://znanium.ru/catalog/product/2141612", "Ознакомиться")</f>
        <v>Ознакомиться</v>
      </c>
      <c r="W1206" s="8" t="s">
        <v>1119</v>
      </c>
      <c r="X1206" s="6"/>
      <c r="Y1206" s="6"/>
      <c r="Z1206" s="6"/>
      <c r="AA1206" s="6" t="s">
        <v>58</v>
      </c>
      <c r="AB1206" s="8" t="s">
        <v>1101</v>
      </c>
    </row>
    <row r="1207" spans="1:28" s="4" customFormat="1" ht="44.1" customHeight="1">
      <c r="A1207" s="5">
        <v>0</v>
      </c>
      <c r="B1207" s="6" t="s">
        <v>7171</v>
      </c>
      <c r="C1207" s="13">
        <v>780</v>
      </c>
      <c r="D1207" s="8" t="s">
        <v>7172</v>
      </c>
      <c r="E1207" s="8" t="s">
        <v>7173</v>
      </c>
      <c r="F1207" s="8" t="s">
        <v>7174</v>
      </c>
      <c r="G1207" s="6" t="s">
        <v>38</v>
      </c>
      <c r="H1207" s="6" t="s">
        <v>39</v>
      </c>
      <c r="I1207" s="8" t="s">
        <v>164</v>
      </c>
      <c r="J1207" s="9">
        <v>1</v>
      </c>
      <c r="K1207" s="9">
        <v>131</v>
      </c>
      <c r="L1207" s="9">
        <v>2022</v>
      </c>
      <c r="M1207" s="8" t="s">
        <v>7175</v>
      </c>
      <c r="N1207" s="8" t="s">
        <v>42</v>
      </c>
      <c r="O1207" s="8" t="s">
        <v>189</v>
      </c>
      <c r="P1207" s="6" t="s">
        <v>44</v>
      </c>
      <c r="Q1207" s="8" t="s">
        <v>45</v>
      </c>
      <c r="R1207" s="10" t="s">
        <v>7176</v>
      </c>
      <c r="S1207" s="11"/>
      <c r="T1207" s="6"/>
      <c r="U1207" s="24" t="str">
        <f>HYPERLINK("https://media.infra-m.ru/1863/1863098/cover/1863098.jpg", "Обложка")</f>
        <v>Обложка</v>
      </c>
      <c r="V1207" s="24" t="str">
        <f>HYPERLINK("https://znanium.ru/catalog/product/1863098", "Ознакомиться")</f>
        <v>Ознакомиться</v>
      </c>
      <c r="W1207" s="8" t="s">
        <v>167</v>
      </c>
      <c r="X1207" s="6"/>
      <c r="Y1207" s="6"/>
      <c r="Z1207" s="6"/>
      <c r="AA1207" s="6" t="s">
        <v>111</v>
      </c>
      <c r="AB1207" s="8"/>
    </row>
    <row r="1208" spans="1:28" s="4" customFormat="1" ht="42" customHeight="1">
      <c r="A1208" s="5">
        <v>0</v>
      </c>
      <c r="B1208" s="6" t="s">
        <v>7177</v>
      </c>
      <c r="C1208" s="7">
        <v>2692.8</v>
      </c>
      <c r="D1208" s="8" t="s">
        <v>7178</v>
      </c>
      <c r="E1208" s="8" t="s">
        <v>7179</v>
      </c>
      <c r="F1208" s="8" t="s">
        <v>7180</v>
      </c>
      <c r="G1208" s="6" t="s">
        <v>26</v>
      </c>
      <c r="H1208" s="6" t="s">
        <v>99</v>
      </c>
      <c r="I1208" s="8"/>
      <c r="J1208" s="9">
        <v>1</v>
      </c>
      <c r="K1208" s="9">
        <v>432</v>
      </c>
      <c r="L1208" s="9">
        <v>2026</v>
      </c>
      <c r="M1208" s="8" t="s">
        <v>7181</v>
      </c>
      <c r="N1208" s="8" t="s">
        <v>42</v>
      </c>
      <c r="O1208" s="8" t="s">
        <v>101</v>
      </c>
      <c r="P1208" s="6" t="s">
        <v>44</v>
      </c>
      <c r="Q1208" s="8" t="s">
        <v>45</v>
      </c>
      <c r="R1208" s="10" t="s">
        <v>874</v>
      </c>
      <c r="S1208" s="11"/>
      <c r="T1208" s="6"/>
      <c r="U1208" s="24" t="str">
        <f>HYPERLINK("https://media.infra-m.ru/2211/2211010/cover/2211010.jpg", "Обложка")</f>
        <v>Обложка</v>
      </c>
      <c r="V1208" s="24" t="str">
        <f>HYPERLINK("https://znanium.ru/catalog/product/1850680", "Ознакомиться")</f>
        <v>Ознакомиться</v>
      </c>
      <c r="W1208" s="8" t="s">
        <v>418</v>
      </c>
      <c r="X1208" s="6"/>
      <c r="Y1208" s="6"/>
      <c r="Z1208" s="6"/>
      <c r="AA1208" s="6" t="s">
        <v>290</v>
      </c>
      <c r="AB1208" s="8"/>
    </row>
    <row r="1209" spans="1:28" s="4" customFormat="1" ht="42" customHeight="1">
      <c r="A1209" s="5">
        <v>0</v>
      </c>
      <c r="B1209" s="6" t="s">
        <v>7182</v>
      </c>
      <c r="C1209" s="7">
        <v>1116</v>
      </c>
      <c r="D1209" s="8" t="s">
        <v>7183</v>
      </c>
      <c r="E1209" s="8" t="s">
        <v>7184</v>
      </c>
      <c r="F1209" s="8" t="s">
        <v>7185</v>
      </c>
      <c r="G1209" s="6" t="s">
        <v>38</v>
      </c>
      <c r="H1209" s="6" t="s">
        <v>39</v>
      </c>
      <c r="I1209" s="8" t="s">
        <v>40</v>
      </c>
      <c r="J1209" s="9">
        <v>1</v>
      </c>
      <c r="K1209" s="9">
        <v>192</v>
      </c>
      <c r="L1209" s="9">
        <v>2024</v>
      </c>
      <c r="M1209" s="8" t="s">
        <v>7186</v>
      </c>
      <c r="N1209" s="8" t="s">
        <v>54</v>
      </c>
      <c r="O1209" s="8" t="s">
        <v>2811</v>
      </c>
      <c r="P1209" s="6" t="s">
        <v>44</v>
      </c>
      <c r="Q1209" s="8" t="s">
        <v>45</v>
      </c>
      <c r="R1209" s="10" t="s">
        <v>7187</v>
      </c>
      <c r="S1209" s="11"/>
      <c r="T1209" s="6"/>
      <c r="U1209" s="24" t="str">
        <f>HYPERLINK("https://media.infra-m.ru/2074/2074251/cover/2074251.jpg", "Обложка")</f>
        <v>Обложка</v>
      </c>
      <c r="V1209" s="24" t="str">
        <f>HYPERLINK("https://znanium.ru/catalog/product/2074251", "Ознакомиться")</f>
        <v>Ознакомиться</v>
      </c>
      <c r="W1209" s="8" t="s">
        <v>5156</v>
      </c>
      <c r="X1209" s="6"/>
      <c r="Y1209" s="6"/>
      <c r="Z1209" s="6"/>
      <c r="AA1209" s="6" t="s">
        <v>58</v>
      </c>
      <c r="AB1209" s="8"/>
    </row>
    <row r="1210" spans="1:28" s="4" customFormat="1" ht="44.1" customHeight="1">
      <c r="A1210" s="5">
        <v>0</v>
      </c>
      <c r="B1210" s="6" t="s">
        <v>7188</v>
      </c>
      <c r="C1210" s="7">
        <v>1200</v>
      </c>
      <c r="D1210" s="8" t="s">
        <v>7189</v>
      </c>
      <c r="E1210" s="8" t="s">
        <v>7190</v>
      </c>
      <c r="F1210" s="8" t="s">
        <v>7191</v>
      </c>
      <c r="G1210" s="6" t="s">
        <v>81</v>
      </c>
      <c r="H1210" s="6" t="s">
        <v>99</v>
      </c>
      <c r="I1210" s="8"/>
      <c r="J1210" s="9">
        <v>1</v>
      </c>
      <c r="K1210" s="9">
        <v>256</v>
      </c>
      <c r="L1210" s="9">
        <v>2022</v>
      </c>
      <c r="M1210" s="8" t="s">
        <v>7192</v>
      </c>
      <c r="N1210" s="8" t="s">
        <v>42</v>
      </c>
      <c r="O1210" s="8" t="s">
        <v>101</v>
      </c>
      <c r="P1210" s="6" t="s">
        <v>44</v>
      </c>
      <c r="Q1210" s="8" t="s">
        <v>45</v>
      </c>
      <c r="R1210" s="10" t="s">
        <v>2490</v>
      </c>
      <c r="S1210" s="11"/>
      <c r="T1210" s="6"/>
      <c r="U1210" s="24" t="str">
        <f>HYPERLINK("https://media.infra-m.ru/1864/1864286/cover/1864286.jpg", "Обложка")</f>
        <v>Обложка</v>
      </c>
      <c r="V1210" s="24" t="str">
        <f>HYPERLINK("https://znanium.ru/catalog/product/1864286", "Ознакомиться")</f>
        <v>Ознакомиться</v>
      </c>
      <c r="W1210" s="8" t="s">
        <v>2281</v>
      </c>
      <c r="X1210" s="6"/>
      <c r="Y1210" s="6"/>
      <c r="Z1210" s="6"/>
      <c r="AA1210" s="6" t="s">
        <v>199</v>
      </c>
      <c r="AB1210" s="8"/>
    </row>
    <row r="1211" spans="1:28" s="4" customFormat="1" ht="51.95" customHeight="1">
      <c r="A1211" s="5">
        <v>0</v>
      </c>
      <c r="B1211" s="6" t="s">
        <v>7193</v>
      </c>
      <c r="C1211" s="7">
        <v>1108.8</v>
      </c>
      <c r="D1211" s="8" t="s">
        <v>7194</v>
      </c>
      <c r="E1211" s="8" t="s">
        <v>7195</v>
      </c>
      <c r="F1211" s="8" t="s">
        <v>7196</v>
      </c>
      <c r="G1211" s="6" t="s">
        <v>38</v>
      </c>
      <c r="H1211" s="6" t="s">
        <v>99</v>
      </c>
      <c r="I1211" s="8"/>
      <c r="J1211" s="9">
        <v>1</v>
      </c>
      <c r="K1211" s="9">
        <v>176</v>
      </c>
      <c r="L1211" s="9">
        <v>2025</v>
      </c>
      <c r="M1211" s="8" t="s">
        <v>7197</v>
      </c>
      <c r="N1211" s="8" t="s">
        <v>42</v>
      </c>
      <c r="O1211" s="8" t="s">
        <v>101</v>
      </c>
      <c r="P1211" s="6" t="s">
        <v>44</v>
      </c>
      <c r="Q1211" s="8" t="s">
        <v>45</v>
      </c>
      <c r="R1211" s="10" t="s">
        <v>7198</v>
      </c>
      <c r="S1211" s="11"/>
      <c r="T1211" s="6"/>
      <c r="U1211" s="24" t="str">
        <f>HYPERLINK("https://media.infra-m.ru/2208/2208462/cover/2208462.jpg", "Обложка")</f>
        <v>Обложка</v>
      </c>
      <c r="V1211" s="24" t="str">
        <f>HYPERLINK("https://znanium.ru/catalog/product/1850135", "Ознакомиться")</f>
        <v>Ознакомиться</v>
      </c>
      <c r="W1211" s="8" t="s">
        <v>361</v>
      </c>
      <c r="X1211" s="6"/>
      <c r="Y1211" s="6"/>
      <c r="Z1211" s="6"/>
      <c r="AA1211" s="6" t="s">
        <v>290</v>
      </c>
      <c r="AB1211" s="8"/>
    </row>
    <row r="1212" spans="1:28" s="4" customFormat="1" ht="42" customHeight="1">
      <c r="A1212" s="5">
        <v>0</v>
      </c>
      <c r="B1212" s="6" t="s">
        <v>7199</v>
      </c>
      <c r="C1212" s="7">
        <v>3348</v>
      </c>
      <c r="D1212" s="8" t="s">
        <v>7200</v>
      </c>
      <c r="E1212" s="8" t="s">
        <v>7201</v>
      </c>
      <c r="F1212" s="8" t="s">
        <v>3851</v>
      </c>
      <c r="G1212" s="6" t="s">
        <v>132</v>
      </c>
      <c r="H1212" s="6" t="s">
        <v>99</v>
      </c>
      <c r="I1212" s="8"/>
      <c r="J1212" s="9">
        <v>1</v>
      </c>
      <c r="K1212" s="9">
        <v>536</v>
      </c>
      <c r="L1212" s="9">
        <v>2026</v>
      </c>
      <c r="M1212" s="8" t="s">
        <v>7202</v>
      </c>
      <c r="N1212" s="8" t="s">
        <v>42</v>
      </c>
      <c r="O1212" s="8" t="s">
        <v>101</v>
      </c>
      <c r="P1212" s="6" t="s">
        <v>44</v>
      </c>
      <c r="Q1212" s="8" t="s">
        <v>45</v>
      </c>
      <c r="R1212" s="10" t="s">
        <v>269</v>
      </c>
      <c r="S1212" s="11"/>
      <c r="T1212" s="6"/>
      <c r="U1212" s="24" t="str">
        <f>HYPERLINK("https://media.infra-m.ru/2219/2219400/cover/2219400.jpg", "Обложка")</f>
        <v>Обложка</v>
      </c>
      <c r="V1212" s="24" t="str">
        <f>HYPERLINK("https://znanium.ru/catalog/product/2219400", "Ознакомиться")</f>
        <v>Ознакомиться</v>
      </c>
      <c r="W1212" s="8" t="s">
        <v>565</v>
      </c>
      <c r="X1212" s="6"/>
      <c r="Y1212" s="6"/>
      <c r="Z1212" s="6"/>
      <c r="AA1212" s="6" t="s">
        <v>168</v>
      </c>
      <c r="AB1212" s="8"/>
    </row>
    <row r="1213" spans="1:28" s="4" customFormat="1" ht="44.1" customHeight="1">
      <c r="A1213" s="5">
        <v>0</v>
      </c>
      <c r="B1213" s="6" t="s">
        <v>7203</v>
      </c>
      <c r="C1213" s="7">
        <v>2392.8000000000002</v>
      </c>
      <c r="D1213" s="8" t="s">
        <v>7204</v>
      </c>
      <c r="E1213" s="8" t="s">
        <v>7205</v>
      </c>
      <c r="F1213" s="8" t="s">
        <v>7206</v>
      </c>
      <c r="G1213" s="6" t="s">
        <v>81</v>
      </c>
      <c r="H1213" s="6" t="s">
        <v>99</v>
      </c>
      <c r="I1213" s="8"/>
      <c r="J1213" s="9">
        <v>1</v>
      </c>
      <c r="K1213" s="9">
        <v>400</v>
      </c>
      <c r="L1213" s="9">
        <v>2025</v>
      </c>
      <c r="M1213" s="8" t="s">
        <v>7207</v>
      </c>
      <c r="N1213" s="8" t="s">
        <v>42</v>
      </c>
      <c r="O1213" s="8" t="s">
        <v>101</v>
      </c>
      <c r="P1213" s="6" t="s">
        <v>44</v>
      </c>
      <c r="Q1213" s="8" t="s">
        <v>45</v>
      </c>
      <c r="R1213" s="10" t="s">
        <v>7208</v>
      </c>
      <c r="S1213" s="11"/>
      <c r="T1213" s="6"/>
      <c r="U1213" s="24" t="str">
        <f>HYPERLINK("https://media.infra-m.ru/2169/2169359/cover/2169359.jpg", "Обложка")</f>
        <v>Обложка</v>
      </c>
      <c r="V1213" s="24" t="str">
        <f>HYPERLINK("https://znanium.ru/catalog/product/1927395", "Ознакомиться")</f>
        <v>Ознакомиться</v>
      </c>
      <c r="W1213" s="8" t="s">
        <v>361</v>
      </c>
      <c r="X1213" s="6"/>
      <c r="Y1213" s="6"/>
      <c r="Z1213" s="6"/>
      <c r="AA1213" s="6" t="s">
        <v>331</v>
      </c>
      <c r="AB1213" s="8"/>
    </row>
    <row r="1214" spans="1:28" s="4" customFormat="1" ht="42" customHeight="1">
      <c r="A1214" s="5">
        <v>0</v>
      </c>
      <c r="B1214" s="6" t="s">
        <v>7209</v>
      </c>
      <c r="C1214" s="7">
        <v>2760</v>
      </c>
      <c r="D1214" s="8" t="s">
        <v>7210</v>
      </c>
      <c r="E1214" s="8" t="s">
        <v>7211</v>
      </c>
      <c r="F1214" s="8" t="s">
        <v>7212</v>
      </c>
      <c r="G1214" s="6" t="s">
        <v>132</v>
      </c>
      <c r="H1214" s="6" t="s">
        <v>3397</v>
      </c>
      <c r="I1214" s="8"/>
      <c r="J1214" s="9">
        <v>1</v>
      </c>
      <c r="K1214" s="9">
        <v>480</v>
      </c>
      <c r="L1214" s="9">
        <v>2019</v>
      </c>
      <c r="M1214" s="8" t="s">
        <v>7213</v>
      </c>
      <c r="N1214" s="8" t="s">
        <v>738</v>
      </c>
      <c r="O1214" s="8" t="s">
        <v>3399</v>
      </c>
      <c r="P1214" s="6" t="s">
        <v>3397</v>
      </c>
      <c r="Q1214" s="8" t="s">
        <v>416</v>
      </c>
      <c r="R1214" s="10" t="s">
        <v>7214</v>
      </c>
      <c r="S1214" s="11"/>
      <c r="T1214" s="6"/>
      <c r="U1214" s="24" t="str">
        <f>HYPERLINK("https://media.infra-m.ru/1001/1001521/cover/1001521.jpg", "Обложка")</f>
        <v>Обложка</v>
      </c>
      <c r="V1214" s="12"/>
      <c r="W1214" s="8" t="s">
        <v>846</v>
      </c>
      <c r="X1214" s="6"/>
      <c r="Y1214" s="6"/>
      <c r="Z1214" s="6"/>
      <c r="AA1214" s="6" t="s">
        <v>48</v>
      </c>
      <c r="AB1214" s="8"/>
    </row>
    <row r="1215" spans="1:28" s="4" customFormat="1" ht="42" customHeight="1">
      <c r="A1215" s="5">
        <v>0</v>
      </c>
      <c r="B1215" s="6" t="s">
        <v>7215</v>
      </c>
      <c r="C1215" s="7">
        <v>2760</v>
      </c>
      <c r="D1215" s="8" t="s">
        <v>7216</v>
      </c>
      <c r="E1215" s="8" t="s">
        <v>7217</v>
      </c>
      <c r="F1215" s="8" t="s">
        <v>7212</v>
      </c>
      <c r="G1215" s="6" t="s">
        <v>132</v>
      </c>
      <c r="H1215" s="6" t="s">
        <v>3397</v>
      </c>
      <c r="I1215" s="8"/>
      <c r="J1215" s="9">
        <v>1</v>
      </c>
      <c r="K1215" s="9">
        <v>480</v>
      </c>
      <c r="L1215" s="9">
        <v>2019</v>
      </c>
      <c r="M1215" s="8" t="s">
        <v>7218</v>
      </c>
      <c r="N1215" s="8" t="s">
        <v>738</v>
      </c>
      <c r="O1215" s="8" t="s">
        <v>3399</v>
      </c>
      <c r="P1215" s="6" t="s">
        <v>3397</v>
      </c>
      <c r="Q1215" s="8" t="s">
        <v>416</v>
      </c>
      <c r="R1215" s="10" t="s">
        <v>7214</v>
      </c>
      <c r="S1215" s="11"/>
      <c r="T1215" s="6"/>
      <c r="U1215" s="24" t="str">
        <f>HYPERLINK("https://media.infra-m.ru/1002/1002230/cover/1002230.jpg", "Обложка")</f>
        <v>Обложка</v>
      </c>
      <c r="V1215" s="12"/>
      <c r="W1215" s="8" t="s">
        <v>846</v>
      </c>
      <c r="X1215" s="6"/>
      <c r="Y1215" s="6"/>
      <c r="Z1215" s="6"/>
      <c r="AA1215" s="6" t="s">
        <v>48</v>
      </c>
      <c r="AB1215" s="8"/>
    </row>
    <row r="1216" spans="1:28" s="4" customFormat="1" ht="42" customHeight="1">
      <c r="A1216" s="5">
        <v>0</v>
      </c>
      <c r="B1216" s="6" t="s">
        <v>7219</v>
      </c>
      <c r="C1216" s="7">
        <v>2760</v>
      </c>
      <c r="D1216" s="8" t="s">
        <v>7220</v>
      </c>
      <c r="E1216" s="8" t="s">
        <v>7221</v>
      </c>
      <c r="F1216" s="8" t="s">
        <v>7212</v>
      </c>
      <c r="G1216" s="6" t="s">
        <v>4307</v>
      </c>
      <c r="H1216" s="6" t="s">
        <v>3397</v>
      </c>
      <c r="I1216" s="8"/>
      <c r="J1216" s="9">
        <v>5</v>
      </c>
      <c r="K1216" s="9">
        <v>480</v>
      </c>
      <c r="L1216" s="9">
        <v>2015</v>
      </c>
      <c r="M1216" s="8" t="s">
        <v>7222</v>
      </c>
      <c r="N1216" s="8" t="s">
        <v>738</v>
      </c>
      <c r="O1216" s="8" t="s">
        <v>3399</v>
      </c>
      <c r="P1216" s="6" t="s">
        <v>3397</v>
      </c>
      <c r="Q1216" s="8" t="s">
        <v>3884</v>
      </c>
      <c r="R1216" s="10" t="s">
        <v>7214</v>
      </c>
      <c r="S1216" s="11"/>
      <c r="T1216" s="6"/>
      <c r="U1216" s="24" t="str">
        <f>HYPERLINK("https://media.infra-m.ru/0429/0429968/cover/429968.jpg", "Обложка")</f>
        <v>Обложка</v>
      </c>
      <c r="V1216" s="12"/>
      <c r="W1216" s="8" t="s">
        <v>846</v>
      </c>
      <c r="X1216" s="6"/>
      <c r="Y1216" s="6"/>
      <c r="Z1216" s="6"/>
      <c r="AA1216" s="6" t="s">
        <v>290</v>
      </c>
      <c r="AB1216" s="8"/>
    </row>
    <row r="1217" spans="1:28" s="4" customFormat="1" ht="42" customHeight="1">
      <c r="A1217" s="5">
        <v>0</v>
      </c>
      <c r="B1217" s="6" t="s">
        <v>7223</v>
      </c>
      <c r="C1217" s="7">
        <v>4196.3999999999996</v>
      </c>
      <c r="D1217" s="8" t="s">
        <v>7224</v>
      </c>
      <c r="E1217" s="8" t="s">
        <v>7225</v>
      </c>
      <c r="F1217" s="8" t="s">
        <v>7212</v>
      </c>
      <c r="G1217" s="6" t="s">
        <v>132</v>
      </c>
      <c r="H1217" s="6" t="s">
        <v>3397</v>
      </c>
      <c r="I1217" s="8"/>
      <c r="J1217" s="9">
        <v>1</v>
      </c>
      <c r="K1217" s="9">
        <v>480</v>
      </c>
      <c r="L1217" s="9">
        <v>2019</v>
      </c>
      <c r="M1217" s="8" t="s">
        <v>7226</v>
      </c>
      <c r="N1217" s="8" t="s">
        <v>738</v>
      </c>
      <c r="O1217" s="8" t="s">
        <v>3399</v>
      </c>
      <c r="P1217" s="6" t="s">
        <v>3397</v>
      </c>
      <c r="Q1217" s="8" t="s">
        <v>416</v>
      </c>
      <c r="R1217" s="10" t="s">
        <v>7214</v>
      </c>
      <c r="S1217" s="11"/>
      <c r="T1217" s="6"/>
      <c r="U1217" s="24" t="str">
        <f>HYPERLINK("https://media.infra-m.ru/1020/1020838/cover/1020838.jpg", "Обложка")</f>
        <v>Обложка</v>
      </c>
      <c r="V1217" s="12"/>
      <c r="W1217" s="8" t="s">
        <v>846</v>
      </c>
      <c r="X1217" s="6"/>
      <c r="Y1217" s="6"/>
      <c r="Z1217" s="6"/>
      <c r="AA1217" s="6" t="s">
        <v>290</v>
      </c>
      <c r="AB1217" s="8"/>
    </row>
    <row r="1218" spans="1:28" s="4" customFormat="1" ht="42" customHeight="1">
      <c r="A1218" s="5">
        <v>0</v>
      </c>
      <c r="B1218" s="6" t="s">
        <v>7227</v>
      </c>
      <c r="C1218" s="7">
        <v>2760</v>
      </c>
      <c r="D1218" s="8" t="s">
        <v>7228</v>
      </c>
      <c r="E1218" s="8" t="s">
        <v>7229</v>
      </c>
      <c r="F1218" s="8" t="s">
        <v>7212</v>
      </c>
      <c r="G1218" s="6" t="s">
        <v>132</v>
      </c>
      <c r="H1218" s="6" t="s">
        <v>3397</v>
      </c>
      <c r="I1218" s="8"/>
      <c r="J1218" s="9">
        <v>1</v>
      </c>
      <c r="K1218" s="9">
        <v>480</v>
      </c>
      <c r="L1218" s="9">
        <v>2021</v>
      </c>
      <c r="M1218" s="8" t="s">
        <v>7230</v>
      </c>
      <c r="N1218" s="8" t="s">
        <v>738</v>
      </c>
      <c r="O1218" s="8" t="s">
        <v>3399</v>
      </c>
      <c r="P1218" s="6" t="s">
        <v>3397</v>
      </c>
      <c r="Q1218" s="8" t="s">
        <v>1058</v>
      </c>
      <c r="R1218" s="10"/>
      <c r="S1218" s="11"/>
      <c r="T1218" s="6"/>
      <c r="U1218" s="24" t="str">
        <f>HYPERLINK("https://media.infra-m.ru/1426/1426331/cover/1426331.jpg", "Обложка")</f>
        <v>Обложка</v>
      </c>
      <c r="V1218" s="12"/>
      <c r="W1218" s="8" t="s">
        <v>846</v>
      </c>
      <c r="X1218" s="6"/>
      <c r="Y1218" s="6"/>
      <c r="Z1218" s="6"/>
      <c r="AA1218" s="6" t="s">
        <v>290</v>
      </c>
      <c r="AB1218" s="8"/>
    </row>
    <row r="1219" spans="1:28" s="4" customFormat="1" ht="42" customHeight="1">
      <c r="A1219" s="5">
        <v>0</v>
      </c>
      <c r="B1219" s="6" t="s">
        <v>7231</v>
      </c>
      <c r="C1219" s="7">
        <v>2760</v>
      </c>
      <c r="D1219" s="8" t="s">
        <v>7232</v>
      </c>
      <c r="E1219" s="8" t="s">
        <v>7233</v>
      </c>
      <c r="F1219" s="8" t="s">
        <v>7212</v>
      </c>
      <c r="G1219" s="6" t="s">
        <v>132</v>
      </c>
      <c r="H1219" s="6" t="s">
        <v>3397</v>
      </c>
      <c r="I1219" s="8"/>
      <c r="J1219" s="9">
        <v>1</v>
      </c>
      <c r="K1219" s="9">
        <v>480</v>
      </c>
      <c r="L1219" s="9">
        <v>2019</v>
      </c>
      <c r="M1219" s="8" t="s">
        <v>7234</v>
      </c>
      <c r="N1219" s="8" t="s">
        <v>738</v>
      </c>
      <c r="O1219" s="8" t="s">
        <v>3399</v>
      </c>
      <c r="P1219" s="6" t="s">
        <v>3397</v>
      </c>
      <c r="Q1219" s="8" t="s">
        <v>416</v>
      </c>
      <c r="R1219" s="10" t="s">
        <v>7214</v>
      </c>
      <c r="S1219" s="11"/>
      <c r="T1219" s="6"/>
      <c r="U1219" s="24" t="str">
        <f>HYPERLINK("https://media.infra-m.ru/1020/1020837/cover/1020837.jpg", "Обложка")</f>
        <v>Обложка</v>
      </c>
      <c r="V1219" s="12"/>
      <c r="W1219" s="8" t="s">
        <v>846</v>
      </c>
      <c r="X1219" s="6"/>
      <c r="Y1219" s="6"/>
      <c r="Z1219" s="6"/>
      <c r="AA1219" s="6" t="s">
        <v>377</v>
      </c>
      <c r="AB1219" s="8"/>
    </row>
    <row r="1220" spans="1:28" s="4" customFormat="1" ht="42" customHeight="1">
      <c r="A1220" s="5">
        <v>0</v>
      </c>
      <c r="B1220" s="6" t="s">
        <v>7235</v>
      </c>
      <c r="C1220" s="7">
        <v>2760</v>
      </c>
      <c r="D1220" s="8" t="s">
        <v>7236</v>
      </c>
      <c r="E1220" s="8" t="s">
        <v>7237</v>
      </c>
      <c r="F1220" s="8" t="s">
        <v>7212</v>
      </c>
      <c r="G1220" s="6" t="s">
        <v>132</v>
      </c>
      <c r="H1220" s="6" t="s">
        <v>3397</v>
      </c>
      <c r="I1220" s="8"/>
      <c r="J1220" s="9">
        <v>1</v>
      </c>
      <c r="K1220" s="9">
        <v>480</v>
      </c>
      <c r="L1220" s="9">
        <v>2021</v>
      </c>
      <c r="M1220" s="8" t="s">
        <v>7238</v>
      </c>
      <c r="N1220" s="8" t="s">
        <v>738</v>
      </c>
      <c r="O1220" s="8" t="s">
        <v>3399</v>
      </c>
      <c r="P1220" s="6" t="s">
        <v>3397</v>
      </c>
      <c r="Q1220" s="8" t="s">
        <v>416</v>
      </c>
      <c r="R1220" s="10" t="s">
        <v>7214</v>
      </c>
      <c r="S1220" s="11"/>
      <c r="T1220" s="6"/>
      <c r="U1220" s="24" t="str">
        <f>HYPERLINK("https://media.infra-m.ru/1223/1223152/cover/1223152.jpg", "Обложка")</f>
        <v>Обложка</v>
      </c>
      <c r="V1220" s="12"/>
      <c r="W1220" s="8" t="s">
        <v>846</v>
      </c>
      <c r="X1220" s="6"/>
      <c r="Y1220" s="6"/>
      <c r="Z1220" s="6"/>
      <c r="AA1220" s="6" t="s">
        <v>377</v>
      </c>
      <c r="AB1220" s="8"/>
    </row>
    <row r="1221" spans="1:28" s="4" customFormat="1" ht="42" customHeight="1">
      <c r="A1221" s="5">
        <v>0</v>
      </c>
      <c r="B1221" s="6" t="s">
        <v>7239</v>
      </c>
      <c r="C1221" s="7">
        <v>2760</v>
      </c>
      <c r="D1221" s="8" t="s">
        <v>7240</v>
      </c>
      <c r="E1221" s="8" t="s">
        <v>7241</v>
      </c>
      <c r="F1221" s="8" t="s">
        <v>7212</v>
      </c>
      <c r="G1221" s="6" t="s">
        <v>132</v>
      </c>
      <c r="H1221" s="6" t="s">
        <v>3397</v>
      </c>
      <c r="I1221" s="8"/>
      <c r="J1221" s="9">
        <v>1</v>
      </c>
      <c r="K1221" s="9">
        <v>496</v>
      </c>
      <c r="L1221" s="9">
        <v>2021</v>
      </c>
      <c r="M1221" s="8" t="s">
        <v>7242</v>
      </c>
      <c r="N1221" s="8" t="s">
        <v>738</v>
      </c>
      <c r="O1221" s="8" t="s">
        <v>3399</v>
      </c>
      <c r="P1221" s="6" t="s">
        <v>3397</v>
      </c>
      <c r="Q1221" s="8" t="s">
        <v>1058</v>
      </c>
      <c r="R1221" s="10" t="s">
        <v>7214</v>
      </c>
      <c r="S1221" s="11"/>
      <c r="T1221" s="6"/>
      <c r="U1221" s="24" t="str">
        <f>HYPERLINK("https://media.infra-m.ru/1488/1488200/cover/1488200.jpg", "Обложка")</f>
        <v>Обложка</v>
      </c>
      <c r="V1221" s="12"/>
      <c r="W1221" s="8" t="s">
        <v>846</v>
      </c>
      <c r="X1221" s="6"/>
      <c r="Y1221" s="6"/>
      <c r="Z1221" s="6"/>
      <c r="AA1221" s="6" t="s">
        <v>377</v>
      </c>
      <c r="AB1221" s="8"/>
    </row>
    <row r="1222" spans="1:28" s="4" customFormat="1" ht="42" customHeight="1">
      <c r="A1222" s="5">
        <v>0</v>
      </c>
      <c r="B1222" s="6" t="s">
        <v>7243</v>
      </c>
      <c r="C1222" s="7">
        <v>2760</v>
      </c>
      <c r="D1222" s="8" t="s">
        <v>7244</v>
      </c>
      <c r="E1222" s="8" t="s">
        <v>7245</v>
      </c>
      <c r="F1222" s="8" t="s">
        <v>7212</v>
      </c>
      <c r="G1222" s="6" t="s">
        <v>132</v>
      </c>
      <c r="H1222" s="6" t="s">
        <v>3397</v>
      </c>
      <c r="I1222" s="8"/>
      <c r="J1222" s="9">
        <v>1</v>
      </c>
      <c r="K1222" s="9">
        <v>496</v>
      </c>
      <c r="L1222" s="9">
        <v>2019</v>
      </c>
      <c r="M1222" s="8" t="s">
        <v>7246</v>
      </c>
      <c r="N1222" s="8" t="s">
        <v>738</v>
      </c>
      <c r="O1222" s="8" t="s">
        <v>3399</v>
      </c>
      <c r="P1222" s="6" t="s">
        <v>3397</v>
      </c>
      <c r="Q1222" s="8" t="s">
        <v>416</v>
      </c>
      <c r="R1222" s="10" t="s">
        <v>7214</v>
      </c>
      <c r="S1222" s="11"/>
      <c r="T1222" s="6"/>
      <c r="U1222" s="24" t="str">
        <f>HYPERLINK("https://media.infra-m.ru/1020/1020834/cover/1020834.jpg", "Обложка")</f>
        <v>Обложка</v>
      </c>
      <c r="V1222" s="12"/>
      <c r="W1222" s="8" t="s">
        <v>846</v>
      </c>
      <c r="X1222" s="6"/>
      <c r="Y1222" s="6"/>
      <c r="Z1222" s="6"/>
      <c r="AA1222" s="6" t="s">
        <v>377</v>
      </c>
      <c r="AB1222" s="8"/>
    </row>
    <row r="1223" spans="1:28" s="4" customFormat="1" ht="42" customHeight="1">
      <c r="A1223" s="5">
        <v>0</v>
      </c>
      <c r="B1223" s="6" t="s">
        <v>7247</v>
      </c>
      <c r="C1223" s="7">
        <v>2760</v>
      </c>
      <c r="D1223" s="8" t="s">
        <v>7248</v>
      </c>
      <c r="E1223" s="8" t="s">
        <v>7249</v>
      </c>
      <c r="F1223" s="8" t="s">
        <v>7212</v>
      </c>
      <c r="G1223" s="6" t="s">
        <v>132</v>
      </c>
      <c r="H1223" s="6" t="s">
        <v>3397</v>
      </c>
      <c r="I1223" s="8"/>
      <c r="J1223" s="9">
        <v>1</v>
      </c>
      <c r="K1223" s="9">
        <v>495</v>
      </c>
      <c r="L1223" s="9">
        <v>2019</v>
      </c>
      <c r="M1223" s="8" t="s">
        <v>7250</v>
      </c>
      <c r="N1223" s="8" t="s">
        <v>738</v>
      </c>
      <c r="O1223" s="8" t="s">
        <v>3399</v>
      </c>
      <c r="P1223" s="6" t="s">
        <v>3397</v>
      </c>
      <c r="Q1223" s="8" t="s">
        <v>416</v>
      </c>
      <c r="R1223" s="10" t="s">
        <v>7214</v>
      </c>
      <c r="S1223" s="11"/>
      <c r="T1223" s="6"/>
      <c r="U1223" s="24" t="str">
        <f>HYPERLINK("https://media.infra-m.ru/1008/1008031/cover/1008031.jpg", "Обложка")</f>
        <v>Обложка</v>
      </c>
      <c r="V1223" s="12"/>
      <c r="W1223" s="8" t="s">
        <v>846</v>
      </c>
      <c r="X1223" s="6"/>
      <c r="Y1223" s="6"/>
      <c r="Z1223" s="6"/>
      <c r="AA1223" s="6" t="s">
        <v>339</v>
      </c>
      <c r="AB1223" s="8"/>
    </row>
    <row r="1224" spans="1:28" s="4" customFormat="1" ht="42" customHeight="1">
      <c r="A1224" s="5">
        <v>0</v>
      </c>
      <c r="B1224" s="6" t="s">
        <v>7251</v>
      </c>
      <c r="C1224" s="7">
        <v>2880</v>
      </c>
      <c r="D1224" s="8" t="s">
        <v>7252</v>
      </c>
      <c r="E1224" s="8" t="s">
        <v>7253</v>
      </c>
      <c r="F1224" s="8" t="s">
        <v>7212</v>
      </c>
      <c r="G1224" s="6" t="s">
        <v>132</v>
      </c>
      <c r="H1224" s="6" t="s">
        <v>3397</v>
      </c>
      <c r="I1224" s="8"/>
      <c r="J1224" s="9">
        <v>1</v>
      </c>
      <c r="K1224" s="9">
        <v>496</v>
      </c>
      <c r="L1224" s="9">
        <v>2021</v>
      </c>
      <c r="M1224" s="8"/>
      <c r="N1224" s="8" t="s">
        <v>738</v>
      </c>
      <c r="O1224" s="8" t="s">
        <v>3399</v>
      </c>
      <c r="P1224" s="6" t="s">
        <v>3397</v>
      </c>
      <c r="Q1224" s="8" t="s">
        <v>3884</v>
      </c>
      <c r="R1224" s="10" t="s">
        <v>7214</v>
      </c>
      <c r="S1224" s="11"/>
      <c r="T1224" s="6"/>
      <c r="U1224" s="24" t="str">
        <f>HYPERLINK("https://media.infra-m.ru/1834/1834406/cover/1834406.jpg", "Обложка")</f>
        <v>Обложка</v>
      </c>
      <c r="V1224" s="12"/>
      <c r="W1224" s="8" t="s">
        <v>846</v>
      </c>
      <c r="X1224" s="6"/>
      <c r="Y1224" s="6"/>
      <c r="Z1224" s="6"/>
      <c r="AA1224" s="6" t="s">
        <v>339</v>
      </c>
      <c r="AB1224" s="8"/>
    </row>
    <row r="1225" spans="1:28" s="4" customFormat="1" ht="42" customHeight="1">
      <c r="A1225" s="5">
        <v>0</v>
      </c>
      <c r="B1225" s="6" t="s">
        <v>7254</v>
      </c>
      <c r="C1225" s="7">
        <v>2880</v>
      </c>
      <c r="D1225" s="8" t="s">
        <v>7255</v>
      </c>
      <c r="E1225" s="8" t="s">
        <v>7256</v>
      </c>
      <c r="F1225" s="8" t="s">
        <v>7212</v>
      </c>
      <c r="G1225" s="6" t="s">
        <v>132</v>
      </c>
      <c r="H1225" s="6" t="s">
        <v>3397</v>
      </c>
      <c r="I1225" s="8"/>
      <c r="J1225" s="9">
        <v>1</v>
      </c>
      <c r="K1225" s="9">
        <v>496</v>
      </c>
      <c r="L1225" s="9">
        <v>2021</v>
      </c>
      <c r="M1225" s="8" t="s">
        <v>7257</v>
      </c>
      <c r="N1225" s="8" t="s">
        <v>738</v>
      </c>
      <c r="O1225" s="8" t="s">
        <v>3399</v>
      </c>
      <c r="P1225" s="6" t="s">
        <v>3397</v>
      </c>
      <c r="Q1225" s="8" t="s">
        <v>1058</v>
      </c>
      <c r="R1225" s="10"/>
      <c r="S1225" s="11"/>
      <c r="T1225" s="6"/>
      <c r="U1225" s="24" t="str">
        <f>HYPERLINK("https://media.infra-m.ru/1856/1856783/cover/1856783.jpg", "Обложка")</f>
        <v>Обложка</v>
      </c>
      <c r="V1225" s="12"/>
      <c r="W1225" s="8" t="s">
        <v>846</v>
      </c>
      <c r="X1225" s="6"/>
      <c r="Y1225" s="6"/>
      <c r="Z1225" s="6"/>
      <c r="AA1225" s="6" t="s">
        <v>339</v>
      </c>
      <c r="AB1225" s="8"/>
    </row>
    <row r="1226" spans="1:28" s="4" customFormat="1" ht="42" customHeight="1">
      <c r="A1226" s="5">
        <v>0</v>
      </c>
      <c r="B1226" s="6" t="s">
        <v>7258</v>
      </c>
      <c r="C1226" s="7">
        <v>2880</v>
      </c>
      <c r="D1226" s="8" t="s">
        <v>7259</v>
      </c>
      <c r="E1226" s="8" t="s">
        <v>7260</v>
      </c>
      <c r="F1226" s="8" t="s">
        <v>7261</v>
      </c>
      <c r="G1226" s="6" t="s">
        <v>132</v>
      </c>
      <c r="H1226" s="6" t="s">
        <v>3397</v>
      </c>
      <c r="I1226" s="8" t="s">
        <v>7262</v>
      </c>
      <c r="J1226" s="9">
        <v>1</v>
      </c>
      <c r="K1226" s="9">
        <v>496</v>
      </c>
      <c r="L1226" s="9">
        <v>2021</v>
      </c>
      <c r="M1226" s="8" t="s">
        <v>7263</v>
      </c>
      <c r="N1226" s="8" t="s">
        <v>738</v>
      </c>
      <c r="O1226" s="8" t="s">
        <v>3399</v>
      </c>
      <c r="P1226" s="6" t="s">
        <v>3397</v>
      </c>
      <c r="Q1226" s="8" t="s">
        <v>7264</v>
      </c>
      <c r="R1226" s="10"/>
      <c r="S1226" s="11"/>
      <c r="T1226" s="6"/>
      <c r="U1226" s="24" t="str">
        <f>HYPERLINK("https://media.infra-m.ru/1841/1841080/cover/1841080.jpg", "Обложка")</f>
        <v>Обложка</v>
      </c>
      <c r="V1226" s="12"/>
      <c r="W1226" s="8" t="s">
        <v>846</v>
      </c>
      <c r="X1226" s="6"/>
      <c r="Y1226" s="6"/>
      <c r="Z1226" s="6"/>
      <c r="AA1226" s="6" t="s">
        <v>339</v>
      </c>
      <c r="AB1226" s="8"/>
    </row>
    <row r="1227" spans="1:28" s="4" customFormat="1" ht="42" customHeight="1">
      <c r="A1227" s="5">
        <v>0</v>
      </c>
      <c r="B1227" s="6" t="s">
        <v>7265</v>
      </c>
      <c r="C1227" s="7">
        <v>2760</v>
      </c>
      <c r="D1227" s="8" t="s">
        <v>7266</v>
      </c>
      <c r="E1227" s="8" t="s">
        <v>7267</v>
      </c>
      <c r="F1227" s="8" t="s">
        <v>7212</v>
      </c>
      <c r="G1227" s="6" t="s">
        <v>7268</v>
      </c>
      <c r="H1227" s="6" t="s">
        <v>3397</v>
      </c>
      <c r="I1227" s="8"/>
      <c r="J1227" s="9">
        <v>5</v>
      </c>
      <c r="K1227" s="9">
        <v>512</v>
      </c>
      <c r="L1227" s="9">
        <v>2019</v>
      </c>
      <c r="M1227" s="8" t="s">
        <v>7269</v>
      </c>
      <c r="N1227" s="8" t="s">
        <v>738</v>
      </c>
      <c r="O1227" s="8" t="s">
        <v>3399</v>
      </c>
      <c r="P1227" s="6" t="s">
        <v>3397</v>
      </c>
      <c r="Q1227" s="8" t="s">
        <v>7264</v>
      </c>
      <c r="R1227" s="10"/>
      <c r="S1227" s="11"/>
      <c r="T1227" s="6"/>
      <c r="U1227" s="24" t="str">
        <f>HYPERLINK("https://media.infra-m.ru/0782/0782857/cover/782857.jpg", "Обложка")</f>
        <v>Обложка</v>
      </c>
      <c r="V1227" s="12"/>
      <c r="W1227" s="8" t="s">
        <v>846</v>
      </c>
      <c r="X1227" s="6"/>
      <c r="Y1227" s="6"/>
      <c r="Z1227" s="6"/>
      <c r="AA1227" s="6" t="s">
        <v>369</v>
      </c>
      <c r="AB1227" s="8"/>
    </row>
    <row r="1228" spans="1:28" s="4" customFormat="1" ht="42" customHeight="1">
      <c r="A1228" s="5">
        <v>0</v>
      </c>
      <c r="B1228" s="6" t="s">
        <v>7270</v>
      </c>
      <c r="C1228" s="7">
        <v>2760</v>
      </c>
      <c r="D1228" s="8" t="s">
        <v>7271</v>
      </c>
      <c r="E1228" s="8" t="s">
        <v>7272</v>
      </c>
      <c r="F1228" s="8" t="s">
        <v>7261</v>
      </c>
      <c r="G1228" s="6" t="s">
        <v>7273</v>
      </c>
      <c r="H1228" s="6" t="s">
        <v>3397</v>
      </c>
      <c r="I1228" s="8"/>
      <c r="J1228" s="9">
        <v>5</v>
      </c>
      <c r="K1228" s="9">
        <v>480</v>
      </c>
      <c r="L1228" s="9">
        <v>2019</v>
      </c>
      <c r="M1228" s="8" t="s">
        <v>7274</v>
      </c>
      <c r="N1228" s="8" t="s">
        <v>738</v>
      </c>
      <c r="O1228" s="8" t="s">
        <v>3399</v>
      </c>
      <c r="P1228" s="6" t="s">
        <v>3397</v>
      </c>
      <c r="Q1228" s="8" t="s">
        <v>1058</v>
      </c>
      <c r="R1228" s="10"/>
      <c r="S1228" s="11"/>
      <c r="T1228" s="6"/>
      <c r="U1228" s="24" t="str">
        <f>HYPERLINK("https://media.infra-m.ru/0891/0891820/cover/891820.jpg", "Обложка")</f>
        <v>Обложка</v>
      </c>
      <c r="V1228" s="12"/>
      <c r="W1228" s="8" t="s">
        <v>846</v>
      </c>
      <c r="X1228" s="6"/>
      <c r="Y1228" s="6"/>
      <c r="Z1228" s="6"/>
      <c r="AA1228" s="6" t="s">
        <v>369</v>
      </c>
      <c r="AB1228" s="8"/>
    </row>
    <row r="1229" spans="1:28" s="4" customFormat="1" ht="42" customHeight="1">
      <c r="A1229" s="5">
        <v>0</v>
      </c>
      <c r="B1229" s="6" t="s">
        <v>7275</v>
      </c>
      <c r="C1229" s="7">
        <v>2760</v>
      </c>
      <c r="D1229" s="8" t="s">
        <v>7276</v>
      </c>
      <c r="E1229" s="8" t="s">
        <v>7277</v>
      </c>
      <c r="F1229" s="8" t="s">
        <v>7212</v>
      </c>
      <c r="G1229" s="6" t="s">
        <v>7273</v>
      </c>
      <c r="H1229" s="6" t="s">
        <v>3397</v>
      </c>
      <c r="I1229" s="8"/>
      <c r="J1229" s="9">
        <v>5</v>
      </c>
      <c r="K1229" s="9">
        <v>480</v>
      </c>
      <c r="L1229" s="9">
        <v>2019</v>
      </c>
      <c r="M1229" s="8" t="s">
        <v>7278</v>
      </c>
      <c r="N1229" s="8" t="s">
        <v>738</v>
      </c>
      <c r="O1229" s="8" t="s">
        <v>3399</v>
      </c>
      <c r="P1229" s="6" t="s">
        <v>3397</v>
      </c>
      <c r="Q1229" s="8" t="s">
        <v>7264</v>
      </c>
      <c r="R1229" s="10"/>
      <c r="S1229" s="11"/>
      <c r="T1229" s="6"/>
      <c r="U1229" s="24" t="str">
        <f>HYPERLINK("https://media.infra-m.ru/0922/0922663/cover/922663.jpg", "Обложка")</f>
        <v>Обложка</v>
      </c>
      <c r="V1229" s="12"/>
      <c r="W1229" s="8" t="s">
        <v>846</v>
      </c>
      <c r="X1229" s="6"/>
      <c r="Y1229" s="6"/>
      <c r="Z1229" s="6"/>
      <c r="AA1229" s="6" t="s">
        <v>68</v>
      </c>
      <c r="AB1229" s="8"/>
    </row>
    <row r="1230" spans="1:28" s="4" customFormat="1" ht="42" customHeight="1">
      <c r="A1230" s="5">
        <v>0</v>
      </c>
      <c r="B1230" s="6" t="s">
        <v>7279</v>
      </c>
      <c r="C1230" s="7">
        <v>2760</v>
      </c>
      <c r="D1230" s="8" t="s">
        <v>7280</v>
      </c>
      <c r="E1230" s="8" t="s">
        <v>7281</v>
      </c>
      <c r="F1230" s="8" t="s">
        <v>7212</v>
      </c>
      <c r="G1230" s="6" t="s">
        <v>7273</v>
      </c>
      <c r="H1230" s="6" t="s">
        <v>3397</v>
      </c>
      <c r="I1230" s="8"/>
      <c r="J1230" s="9">
        <v>1</v>
      </c>
      <c r="K1230" s="9">
        <v>448</v>
      </c>
      <c r="L1230" s="9">
        <v>2020</v>
      </c>
      <c r="M1230" s="8" t="s">
        <v>7282</v>
      </c>
      <c r="N1230" s="8" t="s">
        <v>738</v>
      </c>
      <c r="O1230" s="8" t="s">
        <v>3399</v>
      </c>
      <c r="P1230" s="6" t="s">
        <v>3397</v>
      </c>
      <c r="Q1230" s="8" t="s">
        <v>3884</v>
      </c>
      <c r="R1230" s="10"/>
      <c r="S1230" s="11"/>
      <c r="T1230" s="6"/>
      <c r="U1230" s="24" t="str">
        <f>HYPERLINK("https://media.infra-m.ru/0952/0952065/cover/952065.jpg", "Обложка")</f>
        <v>Обложка</v>
      </c>
      <c r="V1230" s="12"/>
      <c r="W1230" s="8" t="s">
        <v>846</v>
      </c>
      <c r="X1230" s="6"/>
      <c r="Y1230" s="6"/>
      <c r="Z1230" s="6"/>
      <c r="AA1230" s="6" t="s">
        <v>68</v>
      </c>
      <c r="AB1230" s="8"/>
    </row>
    <row r="1231" spans="1:28" s="4" customFormat="1" ht="51.95" customHeight="1">
      <c r="A1231" s="5">
        <v>0</v>
      </c>
      <c r="B1231" s="6" t="s">
        <v>7283</v>
      </c>
      <c r="C1231" s="7">
        <v>2760</v>
      </c>
      <c r="D1231" s="8" t="s">
        <v>7284</v>
      </c>
      <c r="E1231" s="8" t="s">
        <v>7285</v>
      </c>
      <c r="F1231" s="8" t="s">
        <v>7261</v>
      </c>
      <c r="G1231" s="6" t="s">
        <v>132</v>
      </c>
      <c r="H1231" s="6" t="s">
        <v>3397</v>
      </c>
      <c r="I1231" s="8"/>
      <c r="J1231" s="9">
        <v>5</v>
      </c>
      <c r="K1231" s="9">
        <v>480</v>
      </c>
      <c r="L1231" s="9">
        <v>2018</v>
      </c>
      <c r="M1231" s="8" t="s">
        <v>7286</v>
      </c>
      <c r="N1231" s="8" t="s">
        <v>738</v>
      </c>
      <c r="O1231" s="8" t="s">
        <v>3399</v>
      </c>
      <c r="P1231" s="6" t="s">
        <v>3397</v>
      </c>
      <c r="Q1231" s="8" t="s">
        <v>3884</v>
      </c>
      <c r="R1231" s="10" t="s">
        <v>7287</v>
      </c>
      <c r="S1231" s="11"/>
      <c r="T1231" s="6"/>
      <c r="U1231" s="24" t="str">
        <f>HYPERLINK("https://media.infra-m.ru/0882/0882283/cover/882283.jpg", "Обложка")</f>
        <v>Обложка</v>
      </c>
      <c r="V1231" s="12"/>
      <c r="W1231" s="8" t="s">
        <v>846</v>
      </c>
      <c r="X1231" s="6"/>
      <c r="Y1231" s="6"/>
      <c r="Z1231" s="6"/>
      <c r="AA1231" s="6" t="s">
        <v>1556</v>
      </c>
      <c r="AB1231" s="8"/>
    </row>
    <row r="1232" spans="1:28" s="4" customFormat="1" ht="51.95" customHeight="1">
      <c r="A1232" s="5">
        <v>0</v>
      </c>
      <c r="B1232" s="6" t="s">
        <v>7288</v>
      </c>
      <c r="C1232" s="13">
        <v>348</v>
      </c>
      <c r="D1232" s="8" t="s">
        <v>7289</v>
      </c>
      <c r="E1232" s="8" t="s">
        <v>7290</v>
      </c>
      <c r="F1232" s="8" t="s">
        <v>1891</v>
      </c>
      <c r="G1232" s="6" t="s">
        <v>1892</v>
      </c>
      <c r="H1232" s="6" t="s">
        <v>39</v>
      </c>
      <c r="I1232" s="8"/>
      <c r="J1232" s="9">
        <v>1</v>
      </c>
      <c r="K1232" s="9">
        <v>16</v>
      </c>
      <c r="L1232" s="9">
        <v>2024</v>
      </c>
      <c r="M1232" s="8" t="s">
        <v>7291</v>
      </c>
      <c r="N1232" s="8" t="s">
        <v>42</v>
      </c>
      <c r="O1232" s="8" t="s">
        <v>101</v>
      </c>
      <c r="P1232" s="6" t="s">
        <v>2010</v>
      </c>
      <c r="Q1232" s="8" t="s">
        <v>45</v>
      </c>
      <c r="R1232" s="10" t="s">
        <v>7292</v>
      </c>
      <c r="S1232" s="11"/>
      <c r="T1232" s="6"/>
      <c r="U1232" s="24" t="str">
        <f>HYPERLINK("https://media.infra-m.ru/2133/2133830/cover/2133830.jpg", "Обложка")</f>
        <v>Обложка</v>
      </c>
      <c r="V1232" s="24" t="str">
        <f>HYPERLINK("https://znanium.ru/catalog/product/2133830", "Ознакомиться")</f>
        <v>Ознакомиться</v>
      </c>
      <c r="W1232" s="8"/>
      <c r="X1232" s="6"/>
      <c r="Y1232" s="6"/>
      <c r="Z1232" s="6"/>
      <c r="AA1232" s="6" t="s">
        <v>58</v>
      </c>
      <c r="AB1232" s="8"/>
    </row>
    <row r="1233" spans="1:28" s="4" customFormat="1" ht="51.95" customHeight="1">
      <c r="A1233" s="5">
        <v>0</v>
      </c>
      <c r="B1233" s="6" t="s">
        <v>7293</v>
      </c>
      <c r="C1233" s="13">
        <v>604.79999999999995</v>
      </c>
      <c r="D1233" s="8" t="s">
        <v>7294</v>
      </c>
      <c r="E1233" s="8" t="s">
        <v>7295</v>
      </c>
      <c r="F1233" s="8" t="s">
        <v>1891</v>
      </c>
      <c r="G1233" s="6" t="s">
        <v>38</v>
      </c>
      <c r="H1233" s="6" t="s">
        <v>39</v>
      </c>
      <c r="I1233" s="8"/>
      <c r="J1233" s="9">
        <v>1</v>
      </c>
      <c r="K1233" s="9">
        <v>62</v>
      </c>
      <c r="L1233" s="9">
        <v>2025</v>
      </c>
      <c r="M1233" s="8" t="s">
        <v>7296</v>
      </c>
      <c r="N1233" s="8" t="s">
        <v>42</v>
      </c>
      <c r="O1233" s="8" t="s">
        <v>101</v>
      </c>
      <c r="P1233" s="6" t="s">
        <v>3768</v>
      </c>
      <c r="Q1233" s="8" t="s">
        <v>45</v>
      </c>
      <c r="R1233" s="10" t="s">
        <v>7297</v>
      </c>
      <c r="S1233" s="11"/>
      <c r="T1233" s="6"/>
      <c r="U1233" s="24" t="str">
        <f>HYPERLINK("https://media.infra-m.ru/2199/2199255/cover/2199255.jpg", "Обложка")</f>
        <v>Обложка</v>
      </c>
      <c r="V1233" s="24" t="str">
        <f>HYPERLINK("https://znanium.ru/catalog/product/2232544", "Ознакомиться")</f>
        <v>Ознакомиться</v>
      </c>
      <c r="W1233" s="8"/>
      <c r="X1233" s="6"/>
      <c r="Y1233" s="6"/>
      <c r="Z1233" s="6"/>
      <c r="AA1233" s="6" t="s">
        <v>2773</v>
      </c>
      <c r="AB1233" s="8"/>
    </row>
    <row r="1234" spans="1:28" s="4" customFormat="1" ht="51.95" customHeight="1">
      <c r="A1234" s="5">
        <v>0</v>
      </c>
      <c r="B1234" s="6" t="s">
        <v>7298</v>
      </c>
      <c r="C1234" s="13">
        <v>492</v>
      </c>
      <c r="D1234" s="8" t="s">
        <v>7299</v>
      </c>
      <c r="E1234" s="8" t="s">
        <v>7300</v>
      </c>
      <c r="F1234" s="8" t="s">
        <v>1891</v>
      </c>
      <c r="G1234" s="6" t="s">
        <v>38</v>
      </c>
      <c r="H1234" s="6" t="s">
        <v>39</v>
      </c>
      <c r="I1234" s="8" t="s">
        <v>1893</v>
      </c>
      <c r="J1234" s="9">
        <v>1</v>
      </c>
      <c r="K1234" s="9">
        <v>61</v>
      </c>
      <c r="L1234" s="9">
        <v>2024</v>
      </c>
      <c r="M1234" s="8" t="s">
        <v>7301</v>
      </c>
      <c r="N1234" s="8" t="s">
        <v>42</v>
      </c>
      <c r="O1234" s="8" t="s">
        <v>101</v>
      </c>
      <c r="P1234" s="6" t="s">
        <v>3768</v>
      </c>
      <c r="Q1234" s="8" t="s">
        <v>45</v>
      </c>
      <c r="R1234" s="10" t="s">
        <v>7297</v>
      </c>
      <c r="S1234" s="11"/>
      <c r="T1234" s="6"/>
      <c r="U1234" s="24" t="str">
        <f>HYPERLINK("https://media.infra-m.ru/2102/2102672/cover/2102672.jpg", "Обложка")</f>
        <v>Обложка</v>
      </c>
      <c r="V1234" s="24" t="str">
        <f>HYPERLINK("https://znanium.ru/catalog/product/2232544", "Ознакомиться")</f>
        <v>Ознакомиться</v>
      </c>
      <c r="W1234" s="8"/>
      <c r="X1234" s="6"/>
      <c r="Y1234" s="6"/>
      <c r="Z1234" s="6"/>
      <c r="AA1234" s="6" t="s">
        <v>111</v>
      </c>
      <c r="AB1234" s="8"/>
    </row>
    <row r="1235" spans="1:28" s="4" customFormat="1" ht="42" customHeight="1">
      <c r="A1235" s="5">
        <v>0</v>
      </c>
      <c r="B1235" s="6" t="s">
        <v>7302</v>
      </c>
      <c r="C1235" s="7">
        <v>1068</v>
      </c>
      <c r="D1235" s="8" t="s">
        <v>7303</v>
      </c>
      <c r="E1235" s="8" t="s">
        <v>7304</v>
      </c>
      <c r="F1235" s="8" t="s">
        <v>7305</v>
      </c>
      <c r="G1235" s="6" t="s">
        <v>38</v>
      </c>
      <c r="H1235" s="6" t="s">
        <v>39</v>
      </c>
      <c r="I1235" s="8" t="s">
        <v>40</v>
      </c>
      <c r="J1235" s="9">
        <v>1</v>
      </c>
      <c r="K1235" s="9">
        <v>191</v>
      </c>
      <c r="L1235" s="9">
        <v>2023</v>
      </c>
      <c r="M1235" s="8" t="s">
        <v>7306</v>
      </c>
      <c r="N1235" s="8" t="s">
        <v>42</v>
      </c>
      <c r="O1235" s="8" t="s">
        <v>65</v>
      </c>
      <c r="P1235" s="6" t="s">
        <v>44</v>
      </c>
      <c r="Q1235" s="8" t="s">
        <v>45</v>
      </c>
      <c r="R1235" s="10" t="s">
        <v>7307</v>
      </c>
      <c r="S1235" s="11"/>
      <c r="T1235" s="6"/>
      <c r="U1235" s="24" t="str">
        <f>HYPERLINK("https://media.infra-m.ru/1876/1876937/cover/1876937.jpg", "Обложка")</f>
        <v>Обложка</v>
      </c>
      <c r="V1235" s="24" t="str">
        <f>HYPERLINK("https://znanium.ru/catalog/product/1876937", "Ознакомиться")</f>
        <v>Ознакомиться</v>
      </c>
      <c r="W1235" s="8" t="s">
        <v>7308</v>
      </c>
      <c r="X1235" s="6"/>
      <c r="Y1235" s="6"/>
      <c r="Z1235" s="6"/>
      <c r="AA1235" s="6" t="s">
        <v>119</v>
      </c>
      <c r="AB1235" s="8"/>
    </row>
    <row r="1236" spans="1:28" s="4" customFormat="1" ht="42" customHeight="1">
      <c r="A1236" s="5">
        <v>0</v>
      </c>
      <c r="B1236" s="6" t="s">
        <v>7309</v>
      </c>
      <c r="C1236" s="7">
        <v>1140</v>
      </c>
      <c r="D1236" s="8" t="s">
        <v>7310</v>
      </c>
      <c r="E1236" s="8" t="s">
        <v>7311</v>
      </c>
      <c r="F1236" s="8" t="s">
        <v>7312</v>
      </c>
      <c r="G1236" s="6" t="s">
        <v>38</v>
      </c>
      <c r="H1236" s="6" t="s">
        <v>39</v>
      </c>
      <c r="I1236" s="8" t="s">
        <v>3186</v>
      </c>
      <c r="J1236" s="9">
        <v>1</v>
      </c>
      <c r="K1236" s="9">
        <v>189</v>
      </c>
      <c r="L1236" s="9">
        <v>2025</v>
      </c>
      <c r="M1236" s="8" t="s">
        <v>7313</v>
      </c>
      <c r="N1236" s="8" t="s">
        <v>42</v>
      </c>
      <c r="O1236" s="8" t="s">
        <v>101</v>
      </c>
      <c r="P1236" s="6" t="s">
        <v>44</v>
      </c>
      <c r="Q1236" s="8" t="s">
        <v>45</v>
      </c>
      <c r="R1236" s="10" t="s">
        <v>874</v>
      </c>
      <c r="S1236" s="11"/>
      <c r="T1236" s="6"/>
      <c r="U1236" s="24" t="str">
        <f>HYPERLINK("https://media.infra-m.ru/2159/2159178/cover/2159178.jpg", "Обложка")</f>
        <v>Обложка</v>
      </c>
      <c r="V1236" s="24" t="str">
        <f>HYPERLINK("https://znanium.ru/catalog/product/2231728", "Ознакомиться")</f>
        <v>Ознакомиться</v>
      </c>
      <c r="W1236" s="8" t="s">
        <v>3188</v>
      </c>
      <c r="X1236" s="6"/>
      <c r="Y1236" s="6"/>
      <c r="Z1236" s="6"/>
      <c r="AA1236" s="6" t="s">
        <v>2655</v>
      </c>
      <c r="AB1236" s="8"/>
    </row>
    <row r="1237" spans="1:28" s="4" customFormat="1" ht="51.95" customHeight="1">
      <c r="A1237" s="5">
        <v>0</v>
      </c>
      <c r="B1237" s="6" t="s">
        <v>7314</v>
      </c>
      <c r="C1237" s="13">
        <v>773.9</v>
      </c>
      <c r="D1237" s="8" t="s">
        <v>7315</v>
      </c>
      <c r="E1237" s="8" t="s">
        <v>7316</v>
      </c>
      <c r="F1237" s="8" t="s">
        <v>1891</v>
      </c>
      <c r="G1237" s="6" t="s">
        <v>38</v>
      </c>
      <c r="H1237" s="6" t="s">
        <v>39</v>
      </c>
      <c r="I1237" s="8" t="s">
        <v>1893</v>
      </c>
      <c r="J1237" s="9">
        <v>1</v>
      </c>
      <c r="K1237" s="9">
        <v>142</v>
      </c>
      <c r="L1237" s="9">
        <v>2023</v>
      </c>
      <c r="M1237" s="8" t="s">
        <v>7317</v>
      </c>
      <c r="N1237" s="8" t="s">
        <v>42</v>
      </c>
      <c r="O1237" s="8" t="s">
        <v>101</v>
      </c>
      <c r="P1237" s="6" t="s">
        <v>1895</v>
      </c>
      <c r="Q1237" s="8" t="s">
        <v>45</v>
      </c>
      <c r="R1237" s="10" t="s">
        <v>3266</v>
      </c>
      <c r="S1237" s="11"/>
      <c r="T1237" s="6"/>
      <c r="U1237" s="24" t="str">
        <f>HYPERLINK("https://media.infra-m.ru/2117/2117568/cover/2117568.jpg", "Обложка")</f>
        <v>Обложка</v>
      </c>
      <c r="V1237" s="24" t="str">
        <f>HYPERLINK("https://znanium.ru/catalog/product/1921393", "Ознакомиться")</f>
        <v>Ознакомиться</v>
      </c>
      <c r="W1237" s="8"/>
      <c r="X1237" s="6"/>
      <c r="Y1237" s="6"/>
      <c r="Z1237" s="6"/>
      <c r="AA1237" s="6" t="s">
        <v>199</v>
      </c>
      <c r="AB1237" s="8"/>
    </row>
    <row r="1238" spans="1:28" s="4" customFormat="1" ht="44.1" customHeight="1">
      <c r="A1238" s="5">
        <v>0</v>
      </c>
      <c r="B1238" s="6" t="s">
        <v>7318</v>
      </c>
      <c r="C1238" s="13">
        <v>653.9</v>
      </c>
      <c r="D1238" s="8" t="s">
        <v>7319</v>
      </c>
      <c r="E1238" s="8" t="s">
        <v>7320</v>
      </c>
      <c r="F1238" s="8" t="s">
        <v>6219</v>
      </c>
      <c r="G1238" s="6" t="s">
        <v>132</v>
      </c>
      <c r="H1238" s="6" t="s">
        <v>99</v>
      </c>
      <c r="I1238" s="8"/>
      <c r="J1238" s="9">
        <v>24</v>
      </c>
      <c r="K1238" s="9">
        <v>160</v>
      </c>
      <c r="L1238" s="9">
        <v>2019</v>
      </c>
      <c r="M1238" s="8" t="s">
        <v>7321</v>
      </c>
      <c r="N1238" s="8" t="s">
        <v>42</v>
      </c>
      <c r="O1238" s="8" t="s">
        <v>101</v>
      </c>
      <c r="P1238" s="6" t="s">
        <v>44</v>
      </c>
      <c r="Q1238" s="8" t="s">
        <v>45</v>
      </c>
      <c r="R1238" s="10" t="s">
        <v>7208</v>
      </c>
      <c r="S1238" s="11"/>
      <c r="T1238" s="6"/>
      <c r="U1238" s="24" t="str">
        <f>HYPERLINK("https://media.infra-m.ru/0995/0995438/cover/995438.jpg", "Обложка")</f>
        <v>Обложка</v>
      </c>
      <c r="V1238" s="24" t="str">
        <f>HYPERLINK("https://znanium.ru/catalog/product/995438", "Ознакомиться")</f>
        <v>Ознакомиться</v>
      </c>
      <c r="W1238" s="8" t="s">
        <v>565</v>
      </c>
      <c r="X1238" s="6"/>
      <c r="Y1238" s="6"/>
      <c r="Z1238" s="6"/>
      <c r="AA1238" s="6" t="s">
        <v>339</v>
      </c>
      <c r="AB1238" s="8"/>
    </row>
    <row r="1239" spans="1:28" s="4" customFormat="1" ht="42" customHeight="1">
      <c r="A1239" s="5">
        <v>0</v>
      </c>
      <c r="B1239" s="6" t="s">
        <v>7322</v>
      </c>
      <c r="C1239" s="13">
        <v>600</v>
      </c>
      <c r="D1239" s="8" t="s">
        <v>7323</v>
      </c>
      <c r="E1239" s="8" t="s">
        <v>7324</v>
      </c>
      <c r="F1239" s="8" t="s">
        <v>1891</v>
      </c>
      <c r="G1239" s="6" t="s">
        <v>38</v>
      </c>
      <c r="H1239" s="6" t="s">
        <v>39</v>
      </c>
      <c r="I1239" s="8" t="s">
        <v>1893</v>
      </c>
      <c r="J1239" s="9">
        <v>1</v>
      </c>
      <c r="K1239" s="9">
        <v>124</v>
      </c>
      <c r="L1239" s="9">
        <v>2024</v>
      </c>
      <c r="M1239" s="8" t="s">
        <v>7325</v>
      </c>
      <c r="N1239" s="8" t="s">
        <v>42</v>
      </c>
      <c r="O1239" s="8" t="s">
        <v>101</v>
      </c>
      <c r="P1239" s="6" t="s">
        <v>4494</v>
      </c>
      <c r="Q1239" s="8" t="s">
        <v>45</v>
      </c>
      <c r="R1239" s="10" t="s">
        <v>2855</v>
      </c>
      <c r="S1239" s="11"/>
      <c r="T1239" s="6"/>
      <c r="U1239" s="24" t="str">
        <f>HYPERLINK("https://media.infra-m.ru/2116/2116705/cover/2116705.jpg", "Обложка")</f>
        <v>Обложка</v>
      </c>
      <c r="V1239" s="24" t="str">
        <f>HYPERLINK("https://znanium.ru/catalog/product/2200921", "Ознакомиться")</f>
        <v>Ознакомиться</v>
      </c>
      <c r="W1239" s="8"/>
      <c r="X1239" s="6"/>
      <c r="Y1239" s="6"/>
      <c r="Z1239" s="6"/>
      <c r="AA1239" s="6" t="s">
        <v>2773</v>
      </c>
      <c r="AB1239" s="8"/>
    </row>
    <row r="1240" spans="1:28" s="4" customFormat="1" ht="42" customHeight="1">
      <c r="A1240" s="5">
        <v>0</v>
      </c>
      <c r="B1240" s="6" t="s">
        <v>7326</v>
      </c>
      <c r="C1240" s="13">
        <v>408</v>
      </c>
      <c r="D1240" s="8" t="s">
        <v>7327</v>
      </c>
      <c r="E1240" s="8" t="s">
        <v>7328</v>
      </c>
      <c r="F1240" s="8" t="s">
        <v>1891</v>
      </c>
      <c r="G1240" s="6" t="s">
        <v>38</v>
      </c>
      <c r="H1240" s="6" t="s">
        <v>39</v>
      </c>
      <c r="I1240" s="8" t="s">
        <v>1893</v>
      </c>
      <c r="J1240" s="9">
        <v>1</v>
      </c>
      <c r="K1240" s="9">
        <v>115</v>
      </c>
      <c r="L1240" s="9">
        <v>2022</v>
      </c>
      <c r="M1240" s="8" t="s">
        <v>7329</v>
      </c>
      <c r="N1240" s="8" t="s">
        <v>42</v>
      </c>
      <c r="O1240" s="8" t="s">
        <v>101</v>
      </c>
      <c r="P1240" s="6" t="s">
        <v>4494</v>
      </c>
      <c r="Q1240" s="8" t="s">
        <v>45</v>
      </c>
      <c r="R1240" s="10" t="s">
        <v>2855</v>
      </c>
      <c r="S1240" s="11"/>
      <c r="T1240" s="6"/>
      <c r="U1240" s="24" t="str">
        <f>HYPERLINK("https://media.infra-m.ru/1898/1898210/cover/1898210.jpg", "Обложка")</f>
        <v>Обложка</v>
      </c>
      <c r="V1240" s="24" t="str">
        <f>HYPERLINK("https://znanium.ru/catalog/product/2200921", "Ознакомиться")</f>
        <v>Ознакомиться</v>
      </c>
      <c r="W1240" s="8"/>
      <c r="X1240" s="6"/>
      <c r="Y1240" s="6"/>
      <c r="Z1240" s="6"/>
      <c r="AA1240" s="6" t="s">
        <v>111</v>
      </c>
      <c r="AB1240" s="8"/>
    </row>
    <row r="1241" spans="1:28" s="4" customFormat="1" ht="42" customHeight="1">
      <c r="A1241" s="5">
        <v>0</v>
      </c>
      <c r="B1241" s="6" t="s">
        <v>7330</v>
      </c>
      <c r="C1241" s="13">
        <v>792</v>
      </c>
      <c r="D1241" s="8" t="s">
        <v>7331</v>
      </c>
      <c r="E1241" s="8" t="s">
        <v>7332</v>
      </c>
      <c r="F1241" s="8" t="s">
        <v>1891</v>
      </c>
      <c r="G1241" s="6" t="s">
        <v>38</v>
      </c>
      <c r="H1241" s="6" t="s">
        <v>39</v>
      </c>
      <c r="I1241" s="8" t="s">
        <v>1893</v>
      </c>
      <c r="J1241" s="9">
        <v>1</v>
      </c>
      <c r="K1241" s="9">
        <v>130</v>
      </c>
      <c r="L1241" s="9">
        <v>2025</v>
      </c>
      <c r="M1241" s="8" t="s">
        <v>7333</v>
      </c>
      <c r="N1241" s="8" t="s">
        <v>42</v>
      </c>
      <c r="O1241" s="8" t="s">
        <v>101</v>
      </c>
      <c r="P1241" s="6" t="s">
        <v>4494</v>
      </c>
      <c r="Q1241" s="8" t="s">
        <v>45</v>
      </c>
      <c r="R1241" s="10" t="s">
        <v>2855</v>
      </c>
      <c r="S1241" s="11"/>
      <c r="T1241" s="6"/>
      <c r="U1241" s="24" t="str">
        <f>HYPERLINK("https://media.infra-m.ru/2200/2200921/cover/2200921.jpg", "Обложка")</f>
        <v>Обложка</v>
      </c>
      <c r="V1241" s="24" t="str">
        <f>HYPERLINK("https://znanium.ru/catalog/product/2200921", "Ознакомиться")</f>
        <v>Ознакомиться</v>
      </c>
      <c r="W1241" s="8"/>
      <c r="X1241" s="6" t="s">
        <v>320</v>
      </c>
      <c r="Y1241" s="6"/>
      <c r="Z1241" s="6"/>
      <c r="AA1241" s="6" t="s">
        <v>419</v>
      </c>
      <c r="AB1241" s="8"/>
    </row>
    <row r="1242" spans="1:28" s="4" customFormat="1" ht="42" customHeight="1">
      <c r="A1242" s="5">
        <v>0</v>
      </c>
      <c r="B1242" s="6" t="s">
        <v>7334</v>
      </c>
      <c r="C1242" s="13">
        <v>360</v>
      </c>
      <c r="D1242" s="8" t="s">
        <v>7335</v>
      </c>
      <c r="E1242" s="8" t="s">
        <v>7336</v>
      </c>
      <c r="F1242" s="8" t="s">
        <v>1891</v>
      </c>
      <c r="G1242" s="6" t="s">
        <v>1892</v>
      </c>
      <c r="H1242" s="6" t="s">
        <v>39</v>
      </c>
      <c r="I1242" s="8"/>
      <c r="J1242" s="9">
        <v>1</v>
      </c>
      <c r="K1242" s="9">
        <v>60</v>
      </c>
      <c r="L1242" s="9">
        <v>2022</v>
      </c>
      <c r="M1242" s="8" t="s">
        <v>7337</v>
      </c>
      <c r="N1242" s="8" t="s">
        <v>42</v>
      </c>
      <c r="O1242" s="8" t="s">
        <v>101</v>
      </c>
      <c r="P1242" s="6" t="s">
        <v>1895</v>
      </c>
      <c r="Q1242" s="8" t="s">
        <v>45</v>
      </c>
      <c r="R1242" s="10" t="s">
        <v>7338</v>
      </c>
      <c r="S1242" s="11"/>
      <c r="T1242" s="6"/>
      <c r="U1242" s="24" t="str">
        <f>HYPERLINK("https://media.infra-m.ru/1850/1850144/cover/1850144.jpg", "Обложка")</f>
        <v>Обложка</v>
      </c>
      <c r="V1242" s="12"/>
      <c r="W1242" s="8"/>
      <c r="X1242" s="6"/>
      <c r="Y1242" s="6"/>
      <c r="Z1242" s="6"/>
      <c r="AA1242" s="6" t="s">
        <v>168</v>
      </c>
      <c r="AB1242" s="8"/>
    </row>
    <row r="1243" spans="1:28" s="4" customFormat="1" ht="42" customHeight="1">
      <c r="A1243" s="5">
        <v>0</v>
      </c>
      <c r="B1243" s="6" t="s">
        <v>7339</v>
      </c>
      <c r="C1243" s="13">
        <v>276</v>
      </c>
      <c r="D1243" s="8" t="s">
        <v>7340</v>
      </c>
      <c r="E1243" s="8" t="s">
        <v>7341</v>
      </c>
      <c r="F1243" s="8" t="s">
        <v>1891</v>
      </c>
      <c r="G1243" s="6" t="s">
        <v>1892</v>
      </c>
      <c r="H1243" s="6" t="s">
        <v>39</v>
      </c>
      <c r="I1243" s="8"/>
      <c r="J1243" s="9">
        <v>1</v>
      </c>
      <c r="K1243" s="9">
        <v>40</v>
      </c>
      <c r="L1243" s="9">
        <v>2022</v>
      </c>
      <c r="M1243" s="8" t="s">
        <v>7342</v>
      </c>
      <c r="N1243" s="8" t="s">
        <v>42</v>
      </c>
      <c r="O1243" s="8" t="s">
        <v>101</v>
      </c>
      <c r="P1243" s="6" t="s">
        <v>1895</v>
      </c>
      <c r="Q1243" s="8" t="s">
        <v>45</v>
      </c>
      <c r="R1243" s="10" t="s">
        <v>7338</v>
      </c>
      <c r="S1243" s="11"/>
      <c r="T1243" s="6"/>
      <c r="U1243" s="24" t="str">
        <f>HYPERLINK("https://media.infra-m.ru/1850/1850145/cover/1850145.jpg", "Обложка")</f>
        <v>Обложка</v>
      </c>
      <c r="V1243" s="12"/>
      <c r="W1243" s="8"/>
      <c r="X1243" s="6"/>
      <c r="Y1243" s="6"/>
      <c r="Z1243" s="6"/>
      <c r="AA1243" s="6" t="s">
        <v>168</v>
      </c>
      <c r="AB1243" s="8"/>
    </row>
    <row r="1244" spans="1:28" s="4" customFormat="1" ht="51.95" customHeight="1">
      <c r="A1244" s="5">
        <v>0</v>
      </c>
      <c r="B1244" s="6" t="s">
        <v>7343</v>
      </c>
      <c r="C1244" s="13">
        <v>156</v>
      </c>
      <c r="D1244" s="8" t="s">
        <v>7344</v>
      </c>
      <c r="E1244" s="8" t="s">
        <v>7345</v>
      </c>
      <c r="F1244" s="8" t="s">
        <v>1891</v>
      </c>
      <c r="G1244" s="6" t="s">
        <v>1892</v>
      </c>
      <c r="H1244" s="6" t="s">
        <v>39</v>
      </c>
      <c r="I1244" s="8"/>
      <c r="J1244" s="9">
        <v>1</v>
      </c>
      <c r="K1244" s="9">
        <v>16</v>
      </c>
      <c r="L1244" s="9">
        <v>2021</v>
      </c>
      <c r="M1244" s="8" t="s">
        <v>7346</v>
      </c>
      <c r="N1244" s="8" t="s">
        <v>42</v>
      </c>
      <c r="O1244" s="8" t="s">
        <v>101</v>
      </c>
      <c r="P1244" s="6" t="s">
        <v>1895</v>
      </c>
      <c r="Q1244" s="8" t="s">
        <v>45</v>
      </c>
      <c r="R1244" s="10" t="s">
        <v>7347</v>
      </c>
      <c r="S1244" s="11"/>
      <c r="T1244" s="6"/>
      <c r="U1244" s="24" t="str">
        <f>HYPERLINK("https://media.infra-m.ru/1245/1245961/cover/1245961.jpg", "Обложка")</f>
        <v>Обложка</v>
      </c>
      <c r="V1244" s="24" t="str">
        <f>HYPERLINK("https://znanium.ru/catalog/product/1245961", "Ознакомиться")</f>
        <v>Ознакомиться</v>
      </c>
      <c r="W1244" s="8"/>
      <c r="X1244" s="6"/>
      <c r="Y1244" s="6"/>
      <c r="Z1244" s="6"/>
      <c r="AA1244" s="6" t="s">
        <v>199</v>
      </c>
      <c r="AB1244" s="8"/>
    </row>
    <row r="1245" spans="1:28" s="4" customFormat="1" ht="51.95" customHeight="1">
      <c r="A1245" s="5">
        <v>0</v>
      </c>
      <c r="B1245" s="6" t="s">
        <v>7348</v>
      </c>
      <c r="C1245" s="13">
        <v>300</v>
      </c>
      <c r="D1245" s="8" t="s">
        <v>7349</v>
      </c>
      <c r="E1245" s="8" t="s">
        <v>7350</v>
      </c>
      <c r="F1245" s="8" t="s">
        <v>1891</v>
      </c>
      <c r="G1245" s="6" t="s">
        <v>38</v>
      </c>
      <c r="H1245" s="6" t="s">
        <v>39</v>
      </c>
      <c r="I1245" s="8" t="s">
        <v>1893</v>
      </c>
      <c r="J1245" s="9">
        <v>1</v>
      </c>
      <c r="K1245" s="9">
        <v>48</v>
      </c>
      <c r="L1245" s="9">
        <v>2021</v>
      </c>
      <c r="M1245" s="8" t="s">
        <v>7351</v>
      </c>
      <c r="N1245" s="8" t="s">
        <v>42</v>
      </c>
      <c r="O1245" s="8" t="s">
        <v>101</v>
      </c>
      <c r="P1245" s="6" t="s">
        <v>1895</v>
      </c>
      <c r="Q1245" s="8" t="s">
        <v>45</v>
      </c>
      <c r="R1245" s="10" t="s">
        <v>7352</v>
      </c>
      <c r="S1245" s="11"/>
      <c r="T1245" s="6"/>
      <c r="U1245" s="24" t="str">
        <f>HYPERLINK("https://media.infra-m.ru/1817/1817300/cover/1817300.jpg", "Обложка")</f>
        <v>Обложка</v>
      </c>
      <c r="V1245" s="24" t="str">
        <f>HYPERLINK("https://znanium.ru/catalog/product/1817300", "Ознакомиться")</f>
        <v>Ознакомиться</v>
      </c>
      <c r="W1245" s="8"/>
      <c r="X1245" s="6"/>
      <c r="Y1245" s="6"/>
      <c r="Z1245" s="6"/>
      <c r="AA1245" s="6" t="s">
        <v>199</v>
      </c>
      <c r="AB1245" s="8"/>
    </row>
    <row r="1246" spans="1:28" s="4" customFormat="1" ht="51.95" customHeight="1">
      <c r="A1246" s="5">
        <v>0</v>
      </c>
      <c r="B1246" s="6" t="s">
        <v>7353</v>
      </c>
      <c r="C1246" s="13">
        <v>950.3</v>
      </c>
      <c r="D1246" s="8" t="s">
        <v>7354</v>
      </c>
      <c r="E1246" s="8" t="s">
        <v>7355</v>
      </c>
      <c r="F1246" s="8" t="s">
        <v>7356</v>
      </c>
      <c r="G1246" s="6" t="s">
        <v>132</v>
      </c>
      <c r="H1246" s="6" t="s">
        <v>99</v>
      </c>
      <c r="I1246" s="8"/>
      <c r="J1246" s="9">
        <v>1</v>
      </c>
      <c r="K1246" s="9">
        <v>320</v>
      </c>
      <c r="L1246" s="9">
        <v>2018</v>
      </c>
      <c r="M1246" s="8" t="s">
        <v>7357</v>
      </c>
      <c r="N1246" s="8" t="s">
        <v>42</v>
      </c>
      <c r="O1246" s="8" t="s">
        <v>101</v>
      </c>
      <c r="P1246" s="6" t="s">
        <v>2010</v>
      </c>
      <c r="Q1246" s="8" t="s">
        <v>45</v>
      </c>
      <c r="R1246" s="10" t="s">
        <v>7358</v>
      </c>
      <c r="S1246" s="11"/>
      <c r="T1246" s="6"/>
      <c r="U1246" s="24" t="str">
        <f>HYPERLINK("https://media.infra-m.ru/0966/0966502/cover/966502.jpg", "Обложка")</f>
        <v>Обложка</v>
      </c>
      <c r="V1246" s="24" t="str">
        <f>HYPERLINK("https://znanium.ru/catalog/product/913880", "Ознакомиться")</f>
        <v>Ознакомиться</v>
      </c>
      <c r="W1246" s="8" t="s">
        <v>7359</v>
      </c>
      <c r="X1246" s="6"/>
      <c r="Y1246" s="6"/>
      <c r="Z1246" s="6"/>
      <c r="AA1246" s="6" t="s">
        <v>377</v>
      </c>
      <c r="AB1246" s="8"/>
    </row>
    <row r="1247" spans="1:28" s="4" customFormat="1" ht="42" customHeight="1">
      <c r="A1247" s="5">
        <v>0</v>
      </c>
      <c r="B1247" s="6" t="s">
        <v>7360</v>
      </c>
      <c r="C1247" s="13">
        <v>665.9</v>
      </c>
      <c r="D1247" s="8" t="s">
        <v>7361</v>
      </c>
      <c r="E1247" s="8" t="s">
        <v>7362</v>
      </c>
      <c r="F1247" s="8" t="s">
        <v>7363</v>
      </c>
      <c r="G1247" s="6" t="s">
        <v>38</v>
      </c>
      <c r="H1247" s="6" t="s">
        <v>39</v>
      </c>
      <c r="I1247" s="8" t="s">
        <v>40</v>
      </c>
      <c r="J1247" s="9">
        <v>1</v>
      </c>
      <c r="K1247" s="9">
        <v>155</v>
      </c>
      <c r="L1247" s="9">
        <v>2018</v>
      </c>
      <c r="M1247" s="8" t="s">
        <v>7364</v>
      </c>
      <c r="N1247" s="8" t="s">
        <v>284</v>
      </c>
      <c r="O1247" s="8" t="s">
        <v>482</v>
      </c>
      <c r="P1247" s="6" t="s">
        <v>44</v>
      </c>
      <c r="Q1247" s="8" t="s">
        <v>45</v>
      </c>
      <c r="R1247" s="10" t="s">
        <v>7365</v>
      </c>
      <c r="S1247" s="11"/>
      <c r="T1247" s="6"/>
      <c r="U1247" s="24" t="str">
        <f>HYPERLINK("https://media.infra-m.ru/1002/1002794/cover/1002794.jpg", "Обложка")</f>
        <v>Обложка</v>
      </c>
      <c r="V1247" s="24" t="str">
        <f>HYPERLINK("https://znanium.ru/catalog/product/977686", "Ознакомиться")</f>
        <v>Ознакомиться</v>
      </c>
      <c r="W1247" s="8" t="s">
        <v>1882</v>
      </c>
      <c r="X1247" s="6"/>
      <c r="Y1247" s="6"/>
      <c r="Z1247" s="6"/>
      <c r="AA1247" s="6" t="s">
        <v>68</v>
      </c>
      <c r="AB1247" s="8"/>
    </row>
    <row r="1248" spans="1:28" s="4" customFormat="1" ht="51.95" customHeight="1">
      <c r="A1248" s="5">
        <v>0</v>
      </c>
      <c r="B1248" s="6" t="s">
        <v>7366</v>
      </c>
      <c r="C1248" s="7">
        <v>1356</v>
      </c>
      <c r="D1248" s="8" t="s">
        <v>7367</v>
      </c>
      <c r="E1248" s="8" t="s">
        <v>7368</v>
      </c>
      <c r="F1248" s="8" t="s">
        <v>630</v>
      </c>
      <c r="G1248" s="6" t="s">
        <v>81</v>
      </c>
      <c r="H1248" s="6" t="s">
        <v>39</v>
      </c>
      <c r="I1248" s="8" t="s">
        <v>40</v>
      </c>
      <c r="J1248" s="9">
        <v>1</v>
      </c>
      <c r="K1248" s="9">
        <v>226</v>
      </c>
      <c r="L1248" s="9">
        <v>2025</v>
      </c>
      <c r="M1248" s="8" t="s">
        <v>7369</v>
      </c>
      <c r="N1248" s="8" t="s">
        <v>284</v>
      </c>
      <c r="O1248" s="8" t="s">
        <v>383</v>
      </c>
      <c r="P1248" s="6" t="s">
        <v>44</v>
      </c>
      <c r="Q1248" s="8" t="s">
        <v>45</v>
      </c>
      <c r="R1248" s="10" t="s">
        <v>7370</v>
      </c>
      <c r="S1248" s="11"/>
      <c r="T1248" s="6"/>
      <c r="U1248" s="24" t="str">
        <f>HYPERLINK("https://media.infra-m.ru/2171/2171257/cover/2171257.jpg", "Обложка")</f>
        <v>Обложка</v>
      </c>
      <c r="V1248" s="24" t="str">
        <f>HYPERLINK("https://znanium.ru/catalog/product/2171257", "Ознакомиться")</f>
        <v>Ознакомиться</v>
      </c>
      <c r="W1248" s="8" t="s">
        <v>633</v>
      </c>
      <c r="X1248" s="6"/>
      <c r="Y1248" s="6"/>
      <c r="Z1248" s="6"/>
      <c r="AA1248" s="6" t="s">
        <v>119</v>
      </c>
      <c r="AB1248" s="8"/>
    </row>
    <row r="1249" spans="1:28" s="4" customFormat="1" ht="51.95" customHeight="1">
      <c r="A1249" s="5">
        <v>0</v>
      </c>
      <c r="B1249" s="6" t="s">
        <v>7371</v>
      </c>
      <c r="C1249" s="13">
        <v>592.79999999999995</v>
      </c>
      <c r="D1249" s="8" t="s">
        <v>7372</v>
      </c>
      <c r="E1249" s="8" t="s">
        <v>7373</v>
      </c>
      <c r="F1249" s="8" t="s">
        <v>7374</v>
      </c>
      <c r="G1249" s="6" t="s">
        <v>38</v>
      </c>
      <c r="H1249" s="6" t="s">
        <v>39</v>
      </c>
      <c r="I1249" s="8" t="s">
        <v>40</v>
      </c>
      <c r="J1249" s="9">
        <v>1</v>
      </c>
      <c r="K1249" s="9">
        <v>85</v>
      </c>
      <c r="L1249" s="9">
        <v>2026</v>
      </c>
      <c r="M1249" s="8" t="s">
        <v>7375</v>
      </c>
      <c r="N1249" s="8" t="s">
        <v>42</v>
      </c>
      <c r="O1249" s="8" t="s">
        <v>101</v>
      </c>
      <c r="P1249" s="6" t="s">
        <v>44</v>
      </c>
      <c r="Q1249" s="8" t="s">
        <v>287</v>
      </c>
      <c r="R1249" s="10" t="s">
        <v>261</v>
      </c>
      <c r="S1249" s="11"/>
      <c r="T1249" s="6"/>
      <c r="U1249" s="24" t="str">
        <f>HYPERLINK("https://media.infra-m.ru/2218/2218886/cover/2218886.jpg", "Обложка")</f>
        <v>Обложка</v>
      </c>
      <c r="V1249" s="24" t="str">
        <f>HYPERLINK("https://znanium.ru/catalog/product/2040900", "Ознакомиться")</f>
        <v>Ознакомиться</v>
      </c>
      <c r="W1249" s="8" t="s">
        <v>509</v>
      </c>
      <c r="X1249" s="6"/>
      <c r="Y1249" s="6"/>
      <c r="Z1249" s="6"/>
      <c r="AA1249" s="6" t="s">
        <v>369</v>
      </c>
      <c r="AB1249" s="8"/>
    </row>
    <row r="1250" spans="1:28" s="4" customFormat="1" ht="42" customHeight="1">
      <c r="A1250" s="5">
        <v>0</v>
      </c>
      <c r="B1250" s="6" t="s">
        <v>7376</v>
      </c>
      <c r="C1250" s="7">
        <v>1020</v>
      </c>
      <c r="D1250" s="8" t="s">
        <v>7377</v>
      </c>
      <c r="E1250" s="8" t="s">
        <v>7378</v>
      </c>
      <c r="F1250" s="8" t="s">
        <v>7379</v>
      </c>
      <c r="G1250" s="6" t="s">
        <v>81</v>
      </c>
      <c r="H1250" s="6" t="s">
        <v>39</v>
      </c>
      <c r="I1250" s="8" t="s">
        <v>40</v>
      </c>
      <c r="J1250" s="9">
        <v>1</v>
      </c>
      <c r="K1250" s="9">
        <v>184</v>
      </c>
      <c r="L1250" s="9">
        <v>2024</v>
      </c>
      <c r="M1250" s="8" t="s">
        <v>7380</v>
      </c>
      <c r="N1250" s="8" t="s">
        <v>284</v>
      </c>
      <c r="O1250" s="8" t="s">
        <v>285</v>
      </c>
      <c r="P1250" s="6" t="s">
        <v>44</v>
      </c>
      <c r="Q1250" s="8" t="s">
        <v>45</v>
      </c>
      <c r="R1250" s="10" t="s">
        <v>7381</v>
      </c>
      <c r="S1250" s="11"/>
      <c r="T1250" s="6"/>
      <c r="U1250" s="24" t="str">
        <f>HYPERLINK("https://media.infra-m.ru/2117/2117136/cover/2117136.jpg", "Обложка")</f>
        <v>Обложка</v>
      </c>
      <c r="V1250" s="24" t="str">
        <f>HYPERLINK("https://znanium.ru/catalog/product/2117136", "Ознакомиться")</f>
        <v>Ознакомиться</v>
      </c>
      <c r="W1250" s="8" t="s">
        <v>831</v>
      </c>
      <c r="X1250" s="6"/>
      <c r="Y1250" s="6"/>
      <c r="Z1250" s="6"/>
      <c r="AA1250" s="6" t="s">
        <v>369</v>
      </c>
      <c r="AB1250" s="8"/>
    </row>
    <row r="1251" spans="1:28" s="4" customFormat="1" ht="44.1" customHeight="1">
      <c r="A1251" s="5">
        <v>0</v>
      </c>
      <c r="B1251" s="6" t="s">
        <v>7382</v>
      </c>
      <c r="C1251" s="7">
        <v>1044</v>
      </c>
      <c r="D1251" s="8" t="s">
        <v>7383</v>
      </c>
      <c r="E1251" s="8" t="s">
        <v>7384</v>
      </c>
      <c r="F1251" s="8" t="s">
        <v>7385</v>
      </c>
      <c r="G1251" s="6" t="s">
        <v>38</v>
      </c>
      <c r="H1251" s="6" t="s">
        <v>39</v>
      </c>
      <c r="I1251" s="8" t="s">
        <v>40</v>
      </c>
      <c r="J1251" s="9">
        <v>1</v>
      </c>
      <c r="K1251" s="9">
        <v>171</v>
      </c>
      <c r="L1251" s="9">
        <v>2023</v>
      </c>
      <c r="M1251" s="8" t="s">
        <v>7386</v>
      </c>
      <c r="N1251" s="8" t="s">
        <v>220</v>
      </c>
      <c r="O1251" s="8" t="s">
        <v>296</v>
      </c>
      <c r="P1251" s="6" t="s">
        <v>44</v>
      </c>
      <c r="Q1251" s="8" t="s">
        <v>45</v>
      </c>
      <c r="R1251" s="10" t="s">
        <v>7387</v>
      </c>
      <c r="S1251" s="11"/>
      <c r="T1251" s="6"/>
      <c r="U1251" s="24" t="str">
        <f>HYPERLINK("https://media.infra-m.ru/1993/1993656/cover/1993656.jpg", "Обложка")</f>
        <v>Обложка</v>
      </c>
      <c r="V1251" s="24" t="str">
        <f>HYPERLINK("https://znanium.ru/catalog/product/1903315", "Ознакомиться")</f>
        <v>Ознакомиться</v>
      </c>
      <c r="W1251" s="8" t="s">
        <v>7388</v>
      </c>
      <c r="X1251" s="6"/>
      <c r="Y1251" s="6"/>
      <c r="Z1251" s="6"/>
      <c r="AA1251" s="6" t="s">
        <v>119</v>
      </c>
      <c r="AB1251" s="8"/>
    </row>
    <row r="1252" spans="1:28" s="4" customFormat="1" ht="51.95" customHeight="1">
      <c r="A1252" s="5">
        <v>0</v>
      </c>
      <c r="B1252" s="6" t="s">
        <v>7389</v>
      </c>
      <c r="C1252" s="7">
        <v>1500</v>
      </c>
      <c r="D1252" s="8" t="s">
        <v>7390</v>
      </c>
      <c r="E1252" s="8" t="s">
        <v>7391</v>
      </c>
      <c r="F1252" s="8" t="s">
        <v>7392</v>
      </c>
      <c r="G1252" s="6" t="s">
        <v>132</v>
      </c>
      <c r="H1252" s="6" t="s">
        <v>39</v>
      </c>
      <c r="I1252" s="8" t="s">
        <v>40</v>
      </c>
      <c r="J1252" s="9">
        <v>1</v>
      </c>
      <c r="K1252" s="9">
        <v>237</v>
      </c>
      <c r="L1252" s="9">
        <v>2024</v>
      </c>
      <c r="M1252" s="8" t="s">
        <v>7393</v>
      </c>
      <c r="N1252" s="8" t="s">
        <v>42</v>
      </c>
      <c r="O1252" s="8" t="s">
        <v>189</v>
      </c>
      <c r="P1252" s="6" t="s">
        <v>44</v>
      </c>
      <c r="Q1252" s="8" t="s">
        <v>45</v>
      </c>
      <c r="R1252" s="10" t="s">
        <v>7394</v>
      </c>
      <c r="S1252" s="11"/>
      <c r="T1252" s="6"/>
      <c r="U1252" s="24" t="str">
        <f>HYPERLINK("https://media.infra-m.ru/1989/1989302/cover/1989302.jpg", "Обложка")</f>
        <v>Обложка</v>
      </c>
      <c r="V1252" s="24" t="str">
        <f>HYPERLINK("https://znanium.ru/catalog/product/1989302", "Ознакомиться")</f>
        <v>Ознакомиться</v>
      </c>
      <c r="W1252" s="8" t="s">
        <v>7395</v>
      </c>
      <c r="X1252" s="6"/>
      <c r="Y1252" s="6"/>
      <c r="Z1252" s="6"/>
      <c r="AA1252" s="6" t="s">
        <v>119</v>
      </c>
      <c r="AB1252" s="8"/>
    </row>
    <row r="1253" spans="1:28" s="4" customFormat="1" ht="44.1" customHeight="1">
      <c r="A1253" s="5">
        <v>0</v>
      </c>
      <c r="B1253" s="6" t="s">
        <v>7396</v>
      </c>
      <c r="C1253" s="7">
        <v>1812</v>
      </c>
      <c r="D1253" s="8" t="s">
        <v>7397</v>
      </c>
      <c r="E1253" s="8" t="s">
        <v>7398</v>
      </c>
      <c r="F1253" s="8" t="s">
        <v>7399</v>
      </c>
      <c r="G1253" s="6" t="s">
        <v>81</v>
      </c>
      <c r="H1253" s="6" t="s">
        <v>39</v>
      </c>
      <c r="I1253" s="8" t="s">
        <v>40</v>
      </c>
      <c r="J1253" s="9">
        <v>1</v>
      </c>
      <c r="K1253" s="9">
        <v>286</v>
      </c>
      <c r="L1253" s="9">
        <v>2024</v>
      </c>
      <c r="M1253" s="8" t="s">
        <v>7400</v>
      </c>
      <c r="N1253" s="8" t="s">
        <v>42</v>
      </c>
      <c r="O1253" s="8" t="s">
        <v>189</v>
      </c>
      <c r="P1253" s="6" t="s">
        <v>44</v>
      </c>
      <c r="Q1253" s="8" t="s">
        <v>45</v>
      </c>
      <c r="R1253" s="10" t="s">
        <v>502</v>
      </c>
      <c r="S1253" s="11"/>
      <c r="T1253" s="6"/>
      <c r="U1253" s="24" t="str">
        <f>HYPERLINK("https://media.infra-m.ru/2128/2128035/cover/2128035.jpg", "Обложка")</f>
        <v>Обложка</v>
      </c>
      <c r="V1253" s="24" t="str">
        <f>HYPERLINK("https://znanium.ru/catalog/product/2128035", "Ознакомиться")</f>
        <v>Ознакомиться</v>
      </c>
      <c r="W1253" s="8" t="s">
        <v>1211</v>
      </c>
      <c r="X1253" s="6"/>
      <c r="Y1253" s="6"/>
      <c r="Z1253" s="6"/>
      <c r="AA1253" s="6" t="s">
        <v>111</v>
      </c>
      <c r="AB1253" s="8"/>
    </row>
    <row r="1254" spans="1:28" s="4" customFormat="1" ht="42" customHeight="1">
      <c r="A1254" s="5">
        <v>0</v>
      </c>
      <c r="B1254" s="6" t="s">
        <v>7401</v>
      </c>
      <c r="C1254" s="7">
        <v>1632</v>
      </c>
      <c r="D1254" s="8" t="s">
        <v>7402</v>
      </c>
      <c r="E1254" s="8" t="s">
        <v>7403</v>
      </c>
      <c r="F1254" s="8" t="s">
        <v>630</v>
      </c>
      <c r="G1254" s="6" t="s">
        <v>132</v>
      </c>
      <c r="H1254" s="6" t="s">
        <v>39</v>
      </c>
      <c r="I1254" s="8" t="s">
        <v>40</v>
      </c>
      <c r="J1254" s="9">
        <v>1</v>
      </c>
      <c r="K1254" s="9">
        <v>272</v>
      </c>
      <c r="L1254" s="9">
        <v>2025</v>
      </c>
      <c r="M1254" s="8" t="s">
        <v>7404</v>
      </c>
      <c r="N1254" s="8" t="s">
        <v>42</v>
      </c>
      <c r="O1254" s="8" t="s">
        <v>101</v>
      </c>
      <c r="P1254" s="6" t="s">
        <v>44</v>
      </c>
      <c r="Q1254" s="8" t="s">
        <v>45</v>
      </c>
      <c r="R1254" s="10" t="s">
        <v>269</v>
      </c>
      <c r="S1254" s="11"/>
      <c r="T1254" s="6"/>
      <c r="U1254" s="24" t="str">
        <f>HYPERLINK("https://media.infra-m.ru/2141/2141616/cover/2141616.jpg", "Обложка")</f>
        <v>Обложка</v>
      </c>
      <c r="V1254" s="24" t="str">
        <f>HYPERLINK("https://znanium.ru/catalog/product/2141616", "Ознакомиться")</f>
        <v>Ознакомиться</v>
      </c>
      <c r="W1254" s="8" t="s">
        <v>633</v>
      </c>
      <c r="X1254" s="6"/>
      <c r="Y1254" s="6"/>
      <c r="Z1254" s="6"/>
      <c r="AA1254" s="6" t="s">
        <v>159</v>
      </c>
      <c r="AB1254" s="8" t="s">
        <v>1101</v>
      </c>
    </row>
    <row r="1255" spans="1:28" s="4" customFormat="1" ht="51.95" customHeight="1">
      <c r="A1255" s="5">
        <v>0</v>
      </c>
      <c r="B1255" s="6" t="s">
        <v>7405</v>
      </c>
      <c r="C1255" s="7">
        <v>1468.8</v>
      </c>
      <c r="D1255" s="8" t="s">
        <v>7406</v>
      </c>
      <c r="E1255" s="8" t="s">
        <v>7407</v>
      </c>
      <c r="F1255" s="8" t="s">
        <v>1116</v>
      </c>
      <c r="G1255" s="6" t="s">
        <v>38</v>
      </c>
      <c r="H1255" s="6" t="s">
        <v>39</v>
      </c>
      <c r="I1255" s="8" t="s">
        <v>40</v>
      </c>
      <c r="J1255" s="9">
        <v>1</v>
      </c>
      <c r="K1255" s="9">
        <v>234</v>
      </c>
      <c r="L1255" s="9">
        <v>2026</v>
      </c>
      <c r="M1255" s="8" t="s">
        <v>7408</v>
      </c>
      <c r="N1255" s="8" t="s">
        <v>284</v>
      </c>
      <c r="O1255" s="8" t="s">
        <v>2265</v>
      </c>
      <c r="P1255" s="6" t="s">
        <v>44</v>
      </c>
      <c r="Q1255" s="8" t="s">
        <v>45</v>
      </c>
      <c r="R1255" s="10" t="s">
        <v>7409</v>
      </c>
      <c r="S1255" s="11"/>
      <c r="T1255" s="6"/>
      <c r="U1255" s="24" t="str">
        <f>HYPERLINK("https://media.infra-m.ru/2218/2218508/cover/2218508.jpg", "Обложка")</f>
        <v>Обложка</v>
      </c>
      <c r="V1255" s="24" t="str">
        <f>HYPERLINK("https://znanium.ru/catalog/product/2161260", "Ознакомиться")</f>
        <v>Ознакомиться</v>
      </c>
      <c r="W1255" s="8" t="s">
        <v>1119</v>
      </c>
      <c r="X1255" s="6"/>
      <c r="Y1255" s="6"/>
      <c r="Z1255" s="6"/>
      <c r="AA1255" s="6" t="s">
        <v>339</v>
      </c>
      <c r="AB1255" s="8"/>
    </row>
    <row r="1256" spans="1:28" s="4" customFormat="1" ht="42" customHeight="1">
      <c r="A1256" s="5">
        <v>0</v>
      </c>
      <c r="B1256" s="6" t="s">
        <v>7410</v>
      </c>
      <c r="C1256" s="13">
        <v>912</v>
      </c>
      <c r="D1256" s="8" t="s">
        <v>7411</v>
      </c>
      <c r="E1256" s="8" t="s">
        <v>7412</v>
      </c>
      <c r="F1256" s="8" t="s">
        <v>7413</v>
      </c>
      <c r="G1256" s="6" t="s">
        <v>38</v>
      </c>
      <c r="H1256" s="6" t="s">
        <v>39</v>
      </c>
      <c r="I1256" s="8" t="s">
        <v>40</v>
      </c>
      <c r="J1256" s="9">
        <v>1</v>
      </c>
      <c r="K1256" s="9">
        <v>155</v>
      </c>
      <c r="L1256" s="9">
        <v>2023</v>
      </c>
      <c r="M1256" s="8" t="s">
        <v>7414</v>
      </c>
      <c r="N1256" s="8" t="s">
        <v>284</v>
      </c>
      <c r="O1256" s="8" t="s">
        <v>717</v>
      </c>
      <c r="P1256" s="6" t="s">
        <v>44</v>
      </c>
      <c r="Q1256" s="8" t="s">
        <v>45</v>
      </c>
      <c r="R1256" s="10" t="s">
        <v>718</v>
      </c>
      <c r="S1256" s="11"/>
      <c r="T1256" s="6"/>
      <c r="U1256" s="24" t="str">
        <f>HYPERLINK("https://media.infra-m.ru/1932/1932263/cover/1932263.jpg", "Обложка")</f>
        <v>Обложка</v>
      </c>
      <c r="V1256" s="24" t="str">
        <f>HYPERLINK("https://znanium.ru/catalog/product/1932263", "Ознакомиться")</f>
        <v>Ознакомиться</v>
      </c>
      <c r="W1256" s="8" t="s">
        <v>971</v>
      </c>
      <c r="X1256" s="6"/>
      <c r="Y1256" s="6"/>
      <c r="Z1256" s="6"/>
      <c r="AA1256" s="6" t="s">
        <v>119</v>
      </c>
      <c r="AB1256" s="8"/>
    </row>
    <row r="1257" spans="1:28" s="4" customFormat="1" ht="44.1" customHeight="1">
      <c r="A1257" s="5">
        <v>0</v>
      </c>
      <c r="B1257" s="6" t="s">
        <v>7415</v>
      </c>
      <c r="C1257" s="13">
        <v>641.9</v>
      </c>
      <c r="D1257" s="8" t="s">
        <v>7416</v>
      </c>
      <c r="E1257" s="8" t="s">
        <v>7417</v>
      </c>
      <c r="F1257" s="8" t="s">
        <v>7418</v>
      </c>
      <c r="G1257" s="6" t="s">
        <v>38</v>
      </c>
      <c r="H1257" s="6" t="s">
        <v>1019</v>
      </c>
      <c r="I1257" s="8" t="s">
        <v>1020</v>
      </c>
      <c r="J1257" s="9">
        <v>1</v>
      </c>
      <c r="K1257" s="9">
        <v>118</v>
      </c>
      <c r="L1257" s="9">
        <v>2023</v>
      </c>
      <c r="M1257" s="8" t="s">
        <v>7419</v>
      </c>
      <c r="N1257" s="8" t="s">
        <v>284</v>
      </c>
      <c r="O1257" s="8" t="s">
        <v>285</v>
      </c>
      <c r="P1257" s="6" t="s">
        <v>44</v>
      </c>
      <c r="Q1257" s="8" t="s">
        <v>45</v>
      </c>
      <c r="R1257" s="10" t="s">
        <v>7420</v>
      </c>
      <c r="S1257" s="11"/>
      <c r="T1257" s="6"/>
      <c r="U1257" s="24" t="str">
        <f>HYPERLINK("https://media.infra-m.ru/2006/2006834/cover/2006834.jpg", "Обложка")</f>
        <v>Обложка</v>
      </c>
      <c r="V1257" s="24" t="str">
        <f>HYPERLINK("https://znanium.ru/catalog/product/983081", "Ознакомиться")</f>
        <v>Ознакомиться</v>
      </c>
      <c r="W1257" s="8" t="s">
        <v>176</v>
      </c>
      <c r="X1257" s="6"/>
      <c r="Y1257" s="6"/>
      <c r="Z1257" s="6"/>
      <c r="AA1257" s="6" t="s">
        <v>68</v>
      </c>
      <c r="AB1257" s="8" t="s">
        <v>653</v>
      </c>
    </row>
    <row r="1258" spans="1:28" s="4" customFormat="1" ht="51.95" customHeight="1">
      <c r="A1258" s="5">
        <v>0</v>
      </c>
      <c r="B1258" s="6" t="s">
        <v>7421</v>
      </c>
      <c r="C1258" s="7">
        <v>1320</v>
      </c>
      <c r="D1258" s="8" t="s">
        <v>7422</v>
      </c>
      <c r="E1258" s="8" t="s">
        <v>7423</v>
      </c>
      <c r="F1258" s="8" t="s">
        <v>4526</v>
      </c>
      <c r="G1258" s="6" t="s">
        <v>132</v>
      </c>
      <c r="H1258" s="6" t="s">
        <v>39</v>
      </c>
      <c r="I1258" s="8" t="s">
        <v>40</v>
      </c>
      <c r="J1258" s="9">
        <v>1</v>
      </c>
      <c r="K1258" s="9">
        <v>224</v>
      </c>
      <c r="L1258" s="9">
        <v>2023</v>
      </c>
      <c r="M1258" s="8" t="s">
        <v>7424</v>
      </c>
      <c r="N1258" s="8" t="s">
        <v>284</v>
      </c>
      <c r="O1258" s="8" t="s">
        <v>2265</v>
      </c>
      <c r="P1258" s="6" t="s">
        <v>44</v>
      </c>
      <c r="Q1258" s="8" t="s">
        <v>45</v>
      </c>
      <c r="R1258" s="10" t="s">
        <v>7425</v>
      </c>
      <c r="S1258" s="11"/>
      <c r="T1258" s="6"/>
      <c r="U1258" s="24" t="str">
        <f>HYPERLINK("https://media.infra-m.ru/1981/1981692/cover/1981692.jpg", "Обложка")</f>
        <v>Обложка</v>
      </c>
      <c r="V1258" s="24" t="str">
        <f>HYPERLINK("https://znanium.ru/catalog/product/1981692", "Ознакомиться")</f>
        <v>Ознакомиться</v>
      </c>
      <c r="W1258" s="8" t="s">
        <v>289</v>
      </c>
      <c r="X1258" s="6"/>
      <c r="Y1258" s="6"/>
      <c r="Z1258" s="6"/>
      <c r="AA1258" s="6" t="s">
        <v>119</v>
      </c>
      <c r="AB1258" s="8" t="s">
        <v>634</v>
      </c>
    </row>
    <row r="1259" spans="1:28" s="4" customFormat="1" ht="42" customHeight="1">
      <c r="A1259" s="5">
        <v>0</v>
      </c>
      <c r="B1259" s="6" t="s">
        <v>7426</v>
      </c>
      <c r="C1259" s="13">
        <v>972</v>
      </c>
      <c r="D1259" s="8" t="s">
        <v>7427</v>
      </c>
      <c r="E1259" s="8" t="s">
        <v>7428</v>
      </c>
      <c r="F1259" s="8" t="s">
        <v>7429</v>
      </c>
      <c r="G1259" s="6" t="s">
        <v>38</v>
      </c>
      <c r="H1259" s="6" t="s">
        <v>39</v>
      </c>
      <c r="I1259" s="8" t="s">
        <v>344</v>
      </c>
      <c r="J1259" s="9">
        <v>1</v>
      </c>
      <c r="K1259" s="9">
        <v>155</v>
      </c>
      <c r="L1259" s="9">
        <v>2025</v>
      </c>
      <c r="M1259" s="8" t="s">
        <v>7430</v>
      </c>
      <c r="N1259" s="8" t="s">
        <v>284</v>
      </c>
      <c r="O1259" s="8" t="s">
        <v>285</v>
      </c>
      <c r="P1259" s="6" t="s">
        <v>44</v>
      </c>
      <c r="Q1259" s="8" t="s">
        <v>45</v>
      </c>
      <c r="R1259" s="10" t="s">
        <v>7431</v>
      </c>
      <c r="S1259" s="11"/>
      <c r="T1259" s="6"/>
      <c r="U1259" s="24" t="str">
        <f>HYPERLINK("https://media.infra-m.ru/2184/2184264/cover/2184264.jpg", "Обложка")</f>
        <v>Обложка</v>
      </c>
      <c r="V1259" s="12"/>
      <c r="W1259" s="8" t="s">
        <v>346</v>
      </c>
      <c r="X1259" s="6"/>
      <c r="Y1259" s="6"/>
      <c r="Z1259" s="6"/>
      <c r="AA1259" s="6" t="s">
        <v>111</v>
      </c>
      <c r="AB1259" s="8"/>
    </row>
    <row r="1260" spans="1:28" s="4" customFormat="1" ht="51.95" customHeight="1">
      <c r="A1260" s="5">
        <v>0</v>
      </c>
      <c r="B1260" s="6" t="s">
        <v>7432</v>
      </c>
      <c r="C1260" s="13">
        <v>936</v>
      </c>
      <c r="D1260" s="8" t="s">
        <v>7433</v>
      </c>
      <c r="E1260" s="8" t="s">
        <v>7434</v>
      </c>
      <c r="F1260" s="8" t="s">
        <v>7435</v>
      </c>
      <c r="G1260" s="6" t="s">
        <v>38</v>
      </c>
      <c r="H1260" s="6" t="s">
        <v>39</v>
      </c>
      <c r="I1260" s="8" t="s">
        <v>40</v>
      </c>
      <c r="J1260" s="9">
        <v>1</v>
      </c>
      <c r="K1260" s="9">
        <v>173</v>
      </c>
      <c r="L1260" s="9">
        <v>2023</v>
      </c>
      <c r="M1260" s="8" t="s">
        <v>7436</v>
      </c>
      <c r="N1260" s="8" t="s">
        <v>284</v>
      </c>
      <c r="O1260" s="8" t="s">
        <v>482</v>
      </c>
      <c r="P1260" s="6" t="s">
        <v>44</v>
      </c>
      <c r="Q1260" s="8" t="s">
        <v>45</v>
      </c>
      <c r="R1260" s="10" t="s">
        <v>7437</v>
      </c>
      <c r="S1260" s="11"/>
      <c r="T1260" s="6"/>
      <c r="U1260" s="24" t="str">
        <f>HYPERLINK("https://media.infra-m.ru/1911/1911160/cover/1911160.jpg", "Обложка")</f>
        <v>Обложка</v>
      </c>
      <c r="V1260" s="24" t="str">
        <f>HYPERLINK("https://znanium.ru/catalog/product/1911160", "Ознакомиться")</f>
        <v>Ознакомиться</v>
      </c>
      <c r="W1260" s="8" t="s">
        <v>7438</v>
      </c>
      <c r="X1260" s="6"/>
      <c r="Y1260" s="6"/>
      <c r="Z1260" s="6"/>
      <c r="AA1260" s="6" t="s">
        <v>290</v>
      </c>
      <c r="AB1260" s="8"/>
    </row>
    <row r="1261" spans="1:28" s="4" customFormat="1" ht="51.95" customHeight="1">
      <c r="A1261" s="5">
        <v>0</v>
      </c>
      <c r="B1261" s="6" t="s">
        <v>7439</v>
      </c>
      <c r="C1261" s="13">
        <v>820.8</v>
      </c>
      <c r="D1261" s="8" t="s">
        <v>7440</v>
      </c>
      <c r="E1261" s="8" t="s">
        <v>7441</v>
      </c>
      <c r="F1261" s="8" t="s">
        <v>7442</v>
      </c>
      <c r="G1261" s="6" t="s">
        <v>38</v>
      </c>
      <c r="H1261" s="6" t="s">
        <v>39</v>
      </c>
      <c r="I1261" s="8" t="s">
        <v>40</v>
      </c>
      <c r="J1261" s="9">
        <v>1</v>
      </c>
      <c r="K1261" s="9">
        <v>100</v>
      </c>
      <c r="L1261" s="9">
        <v>2023</v>
      </c>
      <c r="M1261" s="8" t="s">
        <v>7443</v>
      </c>
      <c r="N1261" s="8" t="s">
        <v>229</v>
      </c>
      <c r="O1261" s="8" t="s">
        <v>230</v>
      </c>
      <c r="P1261" s="6" t="s">
        <v>44</v>
      </c>
      <c r="Q1261" s="8" t="s">
        <v>45</v>
      </c>
      <c r="R1261" s="10" t="s">
        <v>2060</v>
      </c>
      <c r="S1261" s="11"/>
      <c r="T1261" s="6"/>
      <c r="U1261" s="24" t="str">
        <f>HYPERLINK("https://media.infra-m.ru/1976/1976165/cover/1976165.jpg", "Обложка")</f>
        <v>Обложка</v>
      </c>
      <c r="V1261" s="24" t="str">
        <f>HYPERLINK("https://znanium.ru/catalog/product/1027265", "Ознакомиться")</f>
        <v>Ознакомиться</v>
      </c>
      <c r="W1261" s="8" t="s">
        <v>7444</v>
      </c>
      <c r="X1261" s="6"/>
      <c r="Y1261" s="6"/>
      <c r="Z1261" s="6"/>
      <c r="AA1261" s="6" t="s">
        <v>892</v>
      </c>
      <c r="AB1261" s="8"/>
    </row>
    <row r="1262" spans="1:28" s="4" customFormat="1" ht="51.95" customHeight="1">
      <c r="A1262" s="5">
        <v>0</v>
      </c>
      <c r="B1262" s="6" t="s">
        <v>7445</v>
      </c>
      <c r="C1262" s="7">
        <v>1260</v>
      </c>
      <c r="D1262" s="8" t="s">
        <v>7446</v>
      </c>
      <c r="E1262" s="8" t="s">
        <v>7447</v>
      </c>
      <c r="F1262" s="8" t="s">
        <v>7448</v>
      </c>
      <c r="G1262" s="6" t="s">
        <v>38</v>
      </c>
      <c r="H1262" s="6" t="s">
        <v>39</v>
      </c>
      <c r="I1262" s="8" t="s">
        <v>40</v>
      </c>
      <c r="J1262" s="9">
        <v>1</v>
      </c>
      <c r="K1262" s="9">
        <v>202</v>
      </c>
      <c r="L1262" s="9">
        <v>2026</v>
      </c>
      <c r="M1262" s="8" t="s">
        <v>7449</v>
      </c>
      <c r="N1262" s="8" t="s">
        <v>42</v>
      </c>
      <c r="O1262" s="8" t="s">
        <v>43</v>
      </c>
      <c r="P1262" s="6" t="s">
        <v>44</v>
      </c>
      <c r="Q1262" s="8" t="s">
        <v>45</v>
      </c>
      <c r="R1262" s="10" t="s">
        <v>7450</v>
      </c>
      <c r="S1262" s="11"/>
      <c r="T1262" s="6"/>
      <c r="U1262" s="24" t="str">
        <f>HYPERLINK("https://media.infra-m.ru/2219/2219569/cover/2219569.jpg", "Обложка")</f>
        <v>Обложка</v>
      </c>
      <c r="V1262" s="24" t="str">
        <f>HYPERLINK("https://znanium.ru/catalog/product/2219569", "Ознакомиться")</f>
        <v>Ознакомиться</v>
      </c>
      <c r="W1262" s="8" t="s">
        <v>7451</v>
      </c>
      <c r="X1262" s="6"/>
      <c r="Y1262" s="6"/>
      <c r="Z1262" s="6"/>
      <c r="AA1262" s="6" t="s">
        <v>119</v>
      </c>
      <c r="AB1262" s="8"/>
    </row>
    <row r="1263" spans="1:28" s="4" customFormat="1" ht="42" customHeight="1">
      <c r="A1263" s="5">
        <v>0</v>
      </c>
      <c r="B1263" s="6" t="s">
        <v>7452</v>
      </c>
      <c r="C1263" s="7">
        <v>1080</v>
      </c>
      <c r="D1263" s="8" t="s">
        <v>7453</v>
      </c>
      <c r="E1263" s="8" t="s">
        <v>7454</v>
      </c>
      <c r="F1263" s="8" t="s">
        <v>7455</v>
      </c>
      <c r="G1263" s="6" t="s">
        <v>38</v>
      </c>
      <c r="H1263" s="6" t="s">
        <v>39</v>
      </c>
      <c r="I1263" s="8" t="s">
        <v>40</v>
      </c>
      <c r="J1263" s="9">
        <v>1</v>
      </c>
      <c r="K1263" s="9">
        <v>188</v>
      </c>
      <c r="L1263" s="9">
        <v>2024</v>
      </c>
      <c r="M1263" s="8" t="s">
        <v>7456</v>
      </c>
      <c r="N1263" s="8" t="s">
        <v>229</v>
      </c>
      <c r="O1263" s="8" t="s">
        <v>230</v>
      </c>
      <c r="P1263" s="6" t="s">
        <v>44</v>
      </c>
      <c r="Q1263" s="8" t="s">
        <v>45</v>
      </c>
      <c r="R1263" s="10" t="s">
        <v>7457</v>
      </c>
      <c r="S1263" s="11"/>
      <c r="T1263" s="6"/>
      <c r="U1263" s="24" t="str">
        <f>HYPERLINK("https://media.infra-m.ru/2086/2086355/cover/2086355.jpg", "Обложка")</f>
        <v>Обложка</v>
      </c>
      <c r="V1263" s="24" t="str">
        <f>HYPERLINK("https://znanium.ru/catalog/product/2086355", "Ознакомиться")</f>
        <v>Ознакомиться</v>
      </c>
      <c r="W1263" s="8" t="s">
        <v>7458</v>
      </c>
      <c r="X1263" s="6"/>
      <c r="Y1263" s="6"/>
      <c r="Z1263" s="6"/>
      <c r="AA1263" s="6" t="s">
        <v>58</v>
      </c>
      <c r="AB1263" s="8"/>
    </row>
    <row r="1264" spans="1:28" s="4" customFormat="1" ht="42" customHeight="1">
      <c r="A1264" s="5">
        <v>0</v>
      </c>
      <c r="B1264" s="6" t="s">
        <v>7459</v>
      </c>
      <c r="C1264" s="7">
        <v>1036.8</v>
      </c>
      <c r="D1264" s="8" t="s">
        <v>7460</v>
      </c>
      <c r="E1264" s="8" t="s">
        <v>7461</v>
      </c>
      <c r="F1264" s="8" t="s">
        <v>7462</v>
      </c>
      <c r="G1264" s="6" t="s">
        <v>38</v>
      </c>
      <c r="H1264" s="6" t="s">
        <v>39</v>
      </c>
      <c r="I1264" s="8" t="s">
        <v>40</v>
      </c>
      <c r="J1264" s="9">
        <v>1</v>
      </c>
      <c r="K1264" s="9">
        <v>166</v>
      </c>
      <c r="L1264" s="9">
        <v>2025</v>
      </c>
      <c r="M1264" s="8" t="s">
        <v>7463</v>
      </c>
      <c r="N1264" s="8" t="s">
        <v>229</v>
      </c>
      <c r="O1264" s="8" t="s">
        <v>230</v>
      </c>
      <c r="P1264" s="6" t="s">
        <v>44</v>
      </c>
      <c r="Q1264" s="8" t="s">
        <v>45</v>
      </c>
      <c r="R1264" s="10" t="s">
        <v>3411</v>
      </c>
      <c r="S1264" s="11"/>
      <c r="T1264" s="6"/>
      <c r="U1264" s="24" t="str">
        <f>HYPERLINK("https://media.infra-m.ru/2210/2210366/cover/2210366.jpg", "Обложка")</f>
        <v>Обложка</v>
      </c>
      <c r="V1264" s="24" t="str">
        <f>HYPERLINK("https://znanium.ru/catalog/product/1012285", "Ознакомиться")</f>
        <v>Ознакомиться</v>
      </c>
      <c r="W1264" s="8" t="s">
        <v>3955</v>
      </c>
      <c r="X1264" s="6"/>
      <c r="Y1264" s="6"/>
      <c r="Z1264" s="6"/>
      <c r="AA1264" s="6" t="s">
        <v>76</v>
      </c>
      <c r="AB1264" s="8"/>
    </row>
    <row r="1265" spans="1:28" s="4" customFormat="1" ht="42" customHeight="1">
      <c r="A1265" s="5">
        <v>0</v>
      </c>
      <c r="B1265" s="6" t="s">
        <v>7464</v>
      </c>
      <c r="C1265" s="7">
        <v>2136</v>
      </c>
      <c r="D1265" s="8" t="s">
        <v>7465</v>
      </c>
      <c r="E1265" s="8" t="s">
        <v>7466</v>
      </c>
      <c r="F1265" s="8" t="s">
        <v>2328</v>
      </c>
      <c r="G1265" s="6" t="s">
        <v>132</v>
      </c>
      <c r="H1265" s="6" t="s">
        <v>39</v>
      </c>
      <c r="I1265" s="8" t="s">
        <v>40</v>
      </c>
      <c r="J1265" s="9">
        <v>1</v>
      </c>
      <c r="K1265" s="9">
        <v>387</v>
      </c>
      <c r="L1265" s="9">
        <v>2024</v>
      </c>
      <c r="M1265" s="8" t="s">
        <v>7467</v>
      </c>
      <c r="N1265" s="8" t="s">
        <v>229</v>
      </c>
      <c r="O1265" s="8" t="s">
        <v>230</v>
      </c>
      <c r="P1265" s="6" t="s">
        <v>44</v>
      </c>
      <c r="Q1265" s="8" t="s">
        <v>45</v>
      </c>
      <c r="R1265" s="10" t="s">
        <v>7468</v>
      </c>
      <c r="S1265" s="11"/>
      <c r="T1265" s="6"/>
      <c r="U1265" s="24" t="str">
        <f>HYPERLINK("https://media.infra-m.ru/1946/1946228/cover/1946228.jpg", "Обложка")</f>
        <v>Обложка</v>
      </c>
      <c r="V1265" s="24" t="str">
        <f>HYPERLINK("https://znanium.ru/catalog/product/1946228", "Ознакомиться")</f>
        <v>Ознакомиться</v>
      </c>
      <c r="W1265" s="8" t="s">
        <v>223</v>
      </c>
      <c r="X1265" s="6"/>
      <c r="Y1265" s="6"/>
      <c r="Z1265" s="6"/>
      <c r="AA1265" s="6" t="s">
        <v>58</v>
      </c>
      <c r="AB1265" s="8" t="s">
        <v>1697</v>
      </c>
    </row>
    <row r="1266" spans="1:28" s="4" customFormat="1" ht="44.1" customHeight="1">
      <c r="A1266" s="5">
        <v>0</v>
      </c>
      <c r="B1266" s="6" t="s">
        <v>7469</v>
      </c>
      <c r="C1266" s="7">
        <v>1980</v>
      </c>
      <c r="D1266" s="8" t="s">
        <v>7470</v>
      </c>
      <c r="E1266" s="8" t="s">
        <v>7471</v>
      </c>
      <c r="F1266" s="8" t="s">
        <v>2328</v>
      </c>
      <c r="G1266" s="6" t="s">
        <v>81</v>
      </c>
      <c r="H1266" s="6" t="s">
        <v>39</v>
      </c>
      <c r="I1266" s="8" t="s">
        <v>40</v>
      </c>
      <c r="J1266" s="9">
        <v>1</v>
      </c>
      <c r="K1266" s="9">
        <v>330</v>
      </c>
      <c r="L1266" s="9">
        <v>2025</v>
      </c>
      <c r="M1266" s="8" t="s">
        <v>7472</v>
      </c>
      <c r="N1266" s="8" t="s">
        <v>229</v>
      </c>
      <c r="O1266" s="8" t="s">
        <v>230</v>
      </c>
      <c r="P1266" s="6" t="s">
        <v>44</v>
      </c>
      <c r="Q1266" s="8" t="s">
        <v>45</v>
      </c>
      <c r="R1266" s="10" t="s">
        <v>7473</v>
      </c>
      <c r="S1266" s="11"/>
      <c r="T1266" s="6"/>
      <c r="U1266" s="24" t="str">
        <f>HYPERLINK("https://media.infra-m.ru/2160/2160585/cover/2160585.jpg", "Обложка")</f>
        <v>Обложка</v>
      </c>
      <c r="V1266" s="24" t="str">
        <f>HYPERLINK("https://znanium.ru/catalog/product/2160585", "Ознакомиться")</f>
        <v>Ознакомиться</v>
      </c>
      <c r="W1266" s="8" t="s">
        <v>223</v>
      </c>
      <c r="X1266" s="6"/>
      <c r="Y1266" s="6"/>
      <c r="Z1266" s="6"/>
      <c r="AA1266" s="6" t="s">
        <v>58</v>
      </c>
      <c r="AB1266" s="8"/>
    </row>
    <row r="1267" spans="1:28" s="4" customFormat="1" ht="51.95" customHeight="1">
      <c r="A1267" s="5">
        <v>0</v>
      </c>
      <c r="B1267" s="6" t="s">
        <v>7474</v>
      </c>
      <c r="C1267" s="7">
        <v>1276.8</v>
      </c>
      <c r="D1267" s="8" t="s">
        <v>7475</v>
      </c>
      <c r="E1267" s="8" t="s">
        <v>7476</v>
      </c>
      <c r="F1267" s="8" t="s">
        <v>7477</v>
      </c>
      <c r="G1267" s="6" t="s">
        <v>132</v>
      </c>
      <c r="H1267" s="6" t="s">
        <v>39</v>
      </c>
      <c r="I1267" s="8" t="s">
        <v>164</v>
      </c>
      <c r="J1267" s="9">
        <v>1</v>
      </c>
      <c r="K1267" s="9">
        <v>199</v>
      </c>
      <c r="L1267" s="9">
        <v>2026</v>
      </c>
      <c r="M1267" s="8" t="s">
        <v>7478</v>
      </c>
      <c r="N1267" s="8" t="s">
        <v>42</v>
      </c>
      <c r="O1267" s="8" t="s">
        <v>189</v>
      </c>
      <c r="P1267" s="6" t="s">
        <v>44</v>
      </c>
      <c r="Q1267" s="8" t="s">
        <v>45</v>
      </c>
      <c r="R1267" s="10" t="s">
        <v>1187</v>
      </c>
      <c r="S1267" s="11"/>
      <c r="T1267" s="6"/>
      <c r="U1267" s="24" t="str">
        <f>HYPERLINK("https://media.infra-m.ru/2223/2223145/cover/2223145.jpg", "Обложка")</f>
        <v>Обложка</v>
      </c>
      <c r="V1267" s="24" t="str">
        <f>HYPERLINK("https://znanium.ru/catalog/product/2141111", "Ознакомиться")</f>
        <v>Ознакомиться</v>
      </c>
      <c r="W1267" s="8" t="s">
        <v>167</v>
      </c>
      <c r="X1267" s="6"/>
      <c r="Y1267" s="6"/>
      <c r="Z1267" s="6"/>
      <c r="AA1267" s="6" t="s">
        <v>58</v>
      </c>
      <c r="AB1267" s="8"/>
    </row>
    <row r="1268" spans="1:28" s="4" customFormat="1" ht="42" customHeight="1">
      <c r="A1268" s="5">
        <v>0</v>
      </c>
      <c r="B1268" s="6" t="s">
        <v>7479</v>
      </c>
      <c r="C1268" s="7">
        <v>1632</v>
      </c>
      <c r="D1268" s="8" t="s">
        <v>7480</v>
      </c>
      <c r="E1268" s="8" t="s">
        <v>7481</v>
      </c>
      <c r="F1268" s="8" t="s">
        <v>7482</v>
      </c>
      <c r="G1268" s="6" t="s">
        <v>38</v>
      </c>
      <c r="H1268" s="6" t="s">
        <v>39</v>
      </c>
      <c r="I1268" s="8" t="s">
        <v>40</v>
      </c>
      <c r="J1268" s="9">
        <v>1</v>
      </c>
      <c r="K1268" s="9">
        <v>213</v>
      </c>
      <c r="L1268" s="9">
        <v>2025</v>
      </c>
      <c r="M1268" s="8" t="s">
        <v>7483</v>
      </c>
      <c r="N1268" s="8" t="s">
        <v>229</v>
      </c>
      <c r="O1268" s="8" t="s">
        <v>230</v>
      </c>
      <c r="P1268" s="6" t="s">
        <v>44</v>
      </c>
      <c r="Q1268" s="8" t="s">
        <v>45</v>
      </c>
      <c r="R1268" s="10" t="s">
        <v>7484</v>
      </c>
      <c r="S1268" s="11"/>
      <c r="T1268" s="6"/>
      <c r="U1268" s="24" t="str">
        <f>HYPERLINK("https://media.infra-m.ru/2213/2213008/cover/2213008.jpg", "Обложка")</f>
        <v>Обложка</v>
      </c>
      <c r="V1268" s="24" t="str">
        <f>HYPERLINK("https://znanium.ru/catalog/product/2213008", "Ознакомиться")</f>
        <v>Ознакомиться</v>
      </c>
      <c r="W1268" s="8" t="s">
        <v>1126</v>
      </c>
      <c r="X1268" s="6" t="s">
        <v>838</v>
      </c>
      <c r="Y1268" s="6"/>
      <c r="Z1268" s="6"/>
      <c r="AA1268" s="6" t="s">
        <v>159</v>
      </c>
      <c r="AB1268" s="8"/>
    </row>
    <row r="1269" spans="1:28" s="4" customFormat="1" ht="51.95" customHeight="1">
      <c r="A1269" s="5">
        <v>0</v>
      </c>
      <c r="B1269" s="6" t="s">
        <v>7485</v>
      </c>
      <c r="C1269" s="7">
        <v>2100</v>
      </c>
      <c r="D1269" s="8" t="s">
        <v>7486</v>
      </c>
      <c r="E1269" s="8" t="s">
        <v>7487</v>
      </c>
      <c r="F1269" s="8" t="s">
        <v>7488</v>
      </c>
      <c r="G1269" s="6" t="s">
        <v>132</v>
      </c>
      <c r="H1269" s="6" t="s">
        <v>39</v>
      </c>
      <c r="I1269" s="8" t="s">
        <v>164</v>
      </c>
      <c r="J1269" s="9">
        <v>1</v>
      </c>
      <c r="K1269" s="9">
        <v>365</v>
      </c>
      <c r="L1269" s="9">
        <v>2024</v>
      </c>
      <c r="M1269" s="8" t="s">
        <v>7489</v>
      </c>
      <c r="N1269" s="8" t="s">
        <v>42</v>
      </c>
      <c r="O1269" s="8" t="s">
        <v>189</v>
      </c>
      <c r="P1269" s="6" t="s">
        <v>44</v>
      </c>
      <c r="Q1269" s="8" t="s">
        <v>45</v>
      </c>
      <c r="R1269" s="10" t="s">
        <v>7490</v>
      </c>
      <c r="S1269" s="11"/>
      <c r="T1269" s="6"/>
      <c r="U1269" s="24" t="str">
        <f>HYPERLINK("https://media.infra-m.ru/2030/2030900/cover/2030900.jpg", "Обложка")</f>
        <v>Обложка</v>
      </c>
      <c r="V1269" s="24" t="str">
        <f>HYPERLINK("https://znanium.ru/catalog/product/2030900", "Ознакомиться")</f>
        <v>Ознакомиться</v>
      </c>
      <c r="W1269" s="8" t="s">
        <v>2879</v>
      </c>
      <c r="X1269" s="6"/>
      <c r="Y1269" s="6"/>
      <c r="Z1269" s="6"/>
      <c r="AA1269" s="6" t="s">
        <v>58</v>
      </c>
      <c r="AB1269" s="8"/>
    </row>
    <row r="1270" spans="1:28" s="4" customFormat="1" ht="42" customHeight="1">
      <c r="A1270" s="5">
        <v>0</v>
      </c>
      <c r="B1270" s="6" t="s">
        <v>7491</v>
      </c>
      <c r="C1270" s="7">
        <v>1464</v>
      </c>
      <c r="D1270" s="8" t="s">
        <v>7492</v>
      </c>
      <c r="E1270" s="8" t="s">
        <v>7493</v>
      </c>
      <c r="F1270" s="8" t="s">
        <v>7494</v>
      </c>
      <c r="G1270" s="6" t="s">
        <v>38</v>
      </c>
      <c r="H1270" s="6" t="s">
        <v>39</v>
      </c>
      <c r="I1270" s="8" t="s">
        <v>40</v>
      </c>
      <c r="J1270" s="9">
        <v>1</v>
      </c>
      <c r="K1270" s="9">
        <v>271</v>
      </c>
      <c r="L1270" s="9">
        <v>2022</v>
      </c>
      <c r="M1270" s="8" t="s">
        <v>7495</v>
      </c>
      <c r="N1270" s="8" t="s">
        <v>54</v>
      </c>
      <c r="O1270" s="8" t="s">
        <v>55</v>
      </c>
      <c r="P1270" s="6" t="s">
        <v>44</v>
      </c>
      <c r="Q1270" s="8" t="s">
        <v>45</v>
      </c>
      <c r="R1270" s="10" t="s">
        <v>7496</v>
      </c>
      <c r="S1270" s="11"/>
      <c r="T1270" s="6"/>
      <c r="U1270" s="24" t="str">
        <f>HYPERLINK("https://media.infra-m.ru/1863/1863251/cover/1863251.jpg", "Обложка")</f>
        <v>Обложка</v>
      </c>
      <c r="V1270" s="24" t="str">
        <f>HYPERLINK("https://znanium.ru/catalog/product/1863251", "Ознакомиться")</f>
        <v>Ознакомиться</v>
      </c>
      <c r="W1270" s="8" t="s">
        <v>2047</v>
      </c>
      <c r="X1270" s="6"/>
      <c r="Y1270" s="6"/>
      <c r="Z1270" s="6"/>
      <c r="AA1270" s="6" t="s">
        <v>111</v>
      </c>
      <c r="AB1270" s="8"/>
    </row>
    <row r="1271" spans="1:28" s="4" customFormat="1" ht="42" customHeight="1">
      <c r="A1271" s="5">
        <v>0</v>
      </c>
      <c r="B1271" s="6" t="s">
        <v>7497</v>
      </c>
      <c r="C1271" s="7">
        <v>1188</v>
      </c>
      <c r="D1271" s="8" t="s">
        <v>7498</v>
      </c>
      <c r="E1271" s="8" t="s">
        <v>7499</v>
      </c>
      <c r="F1271" s="8" t="s">
        <v>7500</v>
      </c>
      <c r="G1271" s="6" t="s">
        <v>81</v>
      </c>
      <c r="H1271" s="6" t="s">
        <v>39</v>
      </c>
      <c r="I1271" s="8" t="s">
        <v>40</v>
      </c>
      <c r="J1271" s="9">
        <v>1</v>
      </c>
      <c r="K1271" s="9">
        <v>202</v>
      </c>
      <c r="L1271" s="9">
        <v>2023</v>
      </c>
      <c r="M1271" s="8" t="s">
        <v>7501</v>
      </c>
      <c r="N1271" s="8" t="s">
        <v>284</v>
      </c>
      <c r="O1271" s="8" t="s">
        <v>717</v>
      </c>
      <c r="P1271" s="6" t="s">
        <v>44</v>
      </c>
      <c r="Q1271" s="8" t="s">
        <v>45</v>
      </c>
      <c r="R1271" s="10" t="s">
        <v>718</v>
      </c>
      <c r="S1271" s="11"/>
      <c r="T1271" s="6"/>
      <c r="U1271" s="24" t="str">
        <f>HYPERLINK("https://media.infra-m.ru/1971/1971053/cover/1971053.jpg", "Обложка")</f>
        <v>Обложка</v>
      </c>
      <c r="V1271" s="24" t="str">
        <f>HYPERLINK("https://znanium.ru/catalog/product/1971053", "Ознакомиться")</f>
        <v>Ознакомиться</v>
      </c>
      <c r="W1271" s="8" t="s">
        <v>3530</v>
      </c>
      <c r="X1271" s="6"/>
      <c r="Y1271" s="6"/>
      <c r="Z1271" s="6"/>
      <c r="AA1271" s="6" t="s">
        <v>76</v>
      </c>
      <c r="AB1271" s="8"/>
    </row>
    <row r="1272" spans="1:28" s="4" customFormat="1" ht="42" customHeight="1">
      <c r="A1272" s="5">
        <v>0</v>
      </c>
      <c r="B1272" s="6" t="s">
        <v>7502</v>
      </c>
      <c r="C1272" s="7">
        <v>1104</v>
      </c>
      <c r="D1272" s="8" t="s">
        <v>7503</v>
      </c>
      <c r="E1272" s="8" t="s">
        <v>7504</v>
      </c>
      <c r="F1272" s="8" t="s">
        <v>7505</v>
      </c>
      <c r="G1272" s="6" t="s">
        <v>38</v>
      </c>
      <c r="H1272" s="6" t="s">
        <v>39</v>
      </c>
      <c r="I1272" s="8" t="s">
        <v>40</v>
      </c>
      <c r="J1272" s="9">
        <v>1</v>
      </c>
      <c r="K1272" s="9">
        <v>195</v>
      </c>
      <c r="L1272" s="9">
        <v>2024</v>
      </c>
      <c r="M1272" s="8" t="s">
        <v>7506</v>
      </c>
      <c r="N1272" s="8" t="s">
        <v>229</v>
      </c>
      <c r="O1272" s="8" t="s">
        <v>230</v>
      </c>
      <c r="P1272" s="6" t="s">
        <v>44</v>
      </c>
      <c r="Q1272" s="8" t="s">
        <v>45</v>
      </c>
      <c r="R1272" s="10" t="s">
        <v>508</v>
      </c>
      <c r="S1272" s="11"/>
      <c r="T1272" s="6"/>
      <c r="U1272" s="24" t="str">
        <f>HYPERLINK("https://media.infra-m.ru/1989/1989269/cover/1989269.jpg", "Обложка")</f>
        <v>Обложка</v>
      </c>
      <c r="V1272" s="24" t="str">
        <f>HYPERLINK("https://znanium.ru/catalog/product/1989269", "Ознакомиться")</f>
        <v>Ознакомиться</v>
      </c>
      <c r="W1272" s="8" t="s">
        <v>7507</v>
      </c>
      <c r="X1272" s="6"/>
      <c r="Y1272" s="6"/>
      <c r="Z1272" s="6"/>
      <c r="AA1272" s="6" t="s">
        <v>58</v>
      </c>
      <c r="AB1272" s="8"/>
    </row>
    <row r="1273" spans="1:28" s="4" customFormat="1" ht="44.1" customHeight="1">
      <c r="A1273" s="5">
        <v>0</v>
      </c>
      <c r="B1273" s="6" t="s">
        <v>7508</v>
      </c>
      <c r="C1273" s="7">
        <v>1080</v>
      </c>
      <c r="D1273" s="8" t="s">
        <v>7509</v>
      </c>
      <c r="E1273" s="8" t="s">
        <v>7510</v>
      </c>
      <c r="F1273" s="8" t="s">
        <v>7511</v>
      </c>
      <c r="G1273" s="6" t="s">
        <v>38</v>
      </c>
      <c r="H1273" s="6" t="s">
        <v>39</v>
      </c>
      <c r="I1273" s="8" t="s">
        <v>40</v>
      </c>
      <c r="J1273" s="9">
        <v>1</v>
      </c>
      <c r="K1273" s="9">
        <v>187</v>
      </c>
      <c r="L1273" s="9">
        <v>2024</v>
      </c>
      <c r="M1273" s="8" t="s">
        <v>7512</v>
      </c>
      <c r="N1273" s="8" t="s">
        <v>229</v>
      </c>
      <c r="O1273" s="8" t="s">
        <v>230</v>
      </c>
      <c r="P1273" s="6" t="s">
        <v>44</v>
      </c>
      <c r="Q1273" s="8" t="s">
        <v>45</v>
      </c>
      <c r="R1273" s="10" t="s">
        <v>7513</v>
      </c>
      <c r="S1273" s="11"/>
      <c r="T1273" s="6"/>
      <c r="U1273" s="24" t="str">
        <f>HYPERLINK("https://media.infra-m.ru/1989/1989263/cover/1989263.jpg", "Обложка")</f>
        <v>Обложка</v>
      </c>
      <c r="V1273" s="24" t="str">
        <f>HYPERLINK("https://znanium.ru/catalog/product/1989263", "Ознакомиться")</f>
        <v>Ознакомиться</v>
      </c>
      <c r="W1273" s="8" t="s">
        <v>7514</v>
      </c>
      <c r="X1273" s="6"/>
      <c r="Y1273" s="6"/>
      <c r="Z1273" s="6"/>
      <c r="AA1273" s="6" t="s">
        <v>58</v>
      </c>
      <c r="AB1273" s="8"/>
    </row>
    <row r="1274" spans="1:28" s="4" customFormat="1" ht="42" customHeight="1">
      <c r="A1274" s="5">
        <v>0</v>
      </c>
      <c r="B1274" s="6" t="s">
        <v>7515</v>
      </c>
      <c r="C1274" s="7">
        <v>1188</v>
      </c>
      <c r="D1274" s="8" t="s">
        <v>7516</v>
      </c>
      <c r="E1274" s="8" t="s">
        <v>7517</v>
      </c>
      <c r="F1274" s="8" t="s">
        <v>7518</v>
      </c>
      <c r="G1274" s="6" t="s">
        <v>38</v>
      </c>
      <c r="H1274" s="6" t="s">
        <v>39</v>
      </c>
      <c r="I1274" s="8" t="s">
        <v>40</v>
      </c>
      <c r="J1274" s="9">
        <v>1</v>
      </c>
      <c r="K1274" s="9">
        <v>181</v>
      </c>
      <c r="L1274" s="9">
        <v>2025</v>
      </c>
      <c r="M1274" s="8" t="s">
        <v>7519</v>
      </c>
      <c r="N1274" s="8" t="s">
        <v>229</v>
      </c>
      <c r="O1274" s="8" t="s">
        <v>230</v>
      </c>
      <c r="P1274" s="6" t="s">
        <v>44</v>
      </c>
      <c r="Q1274" s="8" t="s">
        <v>45</v>
      </c>
      <c r="R1274" s="10" t="s">
        <v>7520</v>
      </c>
      <c r="S1274" s="11"/>
      <c r="T1274" s="6"/>
      <c r="U1274" s="24" t="str">
        <f>HYPERLINK("https://media.infra-m.ru/2186/2186795/cover/2186795.jpg", "Обложка")</f>
        <v>Обложка</v>
      </c>
      <c r="V1274" s="24" t="str">
        <f>HYPERLINK("https://znanium.ru/catalog/product/2186795", "Ознакомиться")</f>
        <v>Ознакомиться</v>
      </c>
      <c r="W1274" s="8" t="s">
        <v>535</v>
      </c>
      <c r="X1274" s="6" t="s">
        <v>450</v>
      </c>
      <c r="Y1274" s="6"/>
      <c r="Z1274" s="6"/>
      <c r="AA1274" s="6" t="s">
        <v>159</v>
      </c>
      <c r="AB1274" s="8"/>
    </row>
    <row r="1275" spans="1:28" s="4" customFormat="1" ht="51.95" customHeight="1">
      <c r="A1275" s="5">
        <v>0</v>
      </c>
      <c r="B1275" s="6" t="s">
        <v>7521</v>
      </c>
      <c r="C1275" s="7">
        <v>1072.8</v>
      </c>
      <c r="D1275" s="8" t="s">
        <v>7522</v>
      </c>
      <c r="E1275" s="8" t="s">
        <v>7523</v>
      </c>
      <c r="F1275" s="8" t="s">
        <v>7524</v>
      </c>
      <c r="G1275" s="6" t="s">
        <v>38</v>
      </c>
      <c r="H1275" s="6" t="s">
        <v>39</v>
      </c>
      <c r="I1275" s="8" t="s">
        <v>40</v>
      </c>
      <c r="J1275" s="9">
        <v>1</v>
      </c>
      <c r="K1275" s="9">
        <v>160</v>
      </c>
      <c r="L1275" s="9">
        <v>2025</v>
      </c>
      <c r="M1275" s="8" t="s">
        <v>7525</v>
      </c>
      <c r="N1275" s="8" t="s">
        <v>229</v>
      </c>
      <c r="O1275" s="8" t="s">
        <v>230</v>
      </c>
      <c r="P1275" s="6" t="s">
        <v>44</v>
      </c>
      <c r="Q1275" s="8" t="s">
        <v>45</v>
      </c>
      <c r="R1275" s="10" t="s">
        <v>7526</v>
      </c>
      <c r="S1275" s="11"/>
      <c r="T1275" s="6"/>
      <c r="U1275" s="24" t="str">
        <f>HYPERLINK("https://media.infra-m.ru/2219/2219732/cover/2219732.jpg", "Обложка")</f>
        <v>Обложка</v>
      </c>
      <c r="V1275" s="24" t="str">
        <f>HYPERLINK("https://znanium.ru/catalog/product/2143217", "Ознакомиться")</f>
        <v>Ознакомиться</v>
      </c>
      <c r="W1275" s="8" t="s">
        <v>1968</v>
      </c>
      <c r="X1275" s="6"/>
      <c r="Y1275" s="6"/>
      <c r="Z1275" s="6"/>
      <c r="AA1275" s="6" t="s">
        <v>119</v>
      </c>
      <c r="AB1275" s="8"/>
    </row>
    <row r="1276" spans="1:28" s="4" customFormat="1" ht="42" customHeight="1">
      <c r="A1276" s="5">
        <v>0</v>
      </c>
      <c r="B1276" s="6" t="s">
        <v>7527</v>
      </c>
      <c r="C1276" s="13">
        <v>360</v>
      </c>
      <c r="D1276" s="8" t="s">
        <v>7528</v>
      </c>
      <c r="E1276" s="8" t="s">
        <v>7529</v>
      </c>
      <c r="F1276" s="8" t="s">
        <v>7530</v>
      </c>
      <c r="G1276" s="6" t="s">
        <v>38</v>
      </c>
      <c r="H1276" s="6" t="s">
        <v>39</v>
      </c>
      <c r="I1276" s="8"/>
      <c r="J1276" s="9">
        <v>1</v>
      </c>
      <c r="K1276" s="9">
        <v>154</v>
      </c>
      <c r="L1276" s="9">
        <v>2020</v>
      </c>
      <c r="M1276" s="8" t="s">
        <v>7531</v>
      </c>
      <c r="N1276" s="8" t="s">
        <v>220</v>
      </c>
      <c r="O1276" s="8" t="s">
        <v>296</v>
      </c>
      <c r="P1276" s="6" t="s">
        <v>7532</v>
      </c>
      <c r="Q1276" s="8" t="s">
        <v>416</v>
      </c>
      <c r="R1276" s="10" t="s">
        <v>7533</v>
      </c>
      <c r="S1276" s="11"/>
      <c r="T1276" s="6"/>
      <c r="U1276" s="24" t="str">
        <f>HYPERLINK("https://media.infra-m.ru/1036/1036427/cover/1036427.jpg", "Обложка")</f>
        <v>Обложка</v>
      </c>
      <c r="V1276" s="24" t="str">
        <f>HYPERLINK("https://znanium.ru/catalog/product/1852247", "Ознакомиться")</f>
        <v>Ознакомиться</v>
      </c>
      <c r="W1276" s="8" t="s">
        <v>846</v>
      </c>
      <c r="X1276" s="6"/>
      <c r="Y1276" s="6"/>
      <c r="Z1276" s="6"/>
      <c r="AA1276" s="6" t="s">
        <v>339</v>
      </c>
      <c r="AB1276" s="8"/>
    </row>
    <row r="1277" spans="1:28" s="4" customFormat="1" ht="42" customHeight="1">
      <c r="A1277" s="5">
        <v>0</v>
      </c>
      <c r="B1277" s="6" t="s">
        <v>7534</v>
      </c>
      <c r="C1277" s="7">
        <v>1296</v>
      </c>
      <c r="D1277" s="8" t="s">
        <v>7535</v>
      </c>
      <c r="E1277" s="8" t="s">
        <v>7536</v>
      </c>
      <c r="F1277" s="8" t="s">
        <v>7537</v>
      </c>
      <c r="G1277" s="6" t="s">
        <v>38</v>
      </c>
      <c r="H1277" s="6" t="s">
        <v>39</v>
      </c>
      <c r="I1277" s="8" t="s">
        <v>40</v>
      </c>
      <c r="J1277" s="9">
        <v>1</v>
      </c>
      <c r="K1277" s="9">
        <v>251</v>
      </c>
      <c r="L1277" s="9">
        <v>2022</v>
      </c>
      <c r="M1277" s="8" t="s">
        <v>7538</v>
      </c>
      <c r="N1277" s="8" t="s">
        <v>42</v>
      </c>
      <c r="O1277" s="8" t="s">
        <v>65</v>
      </c>
      <c r="P1277" s="6" t="s">
        <v>44</v>
      </c>
      <c r="Q1277" s="8" t="s">
        <v>45</v>
      </c>
      <c r="R1277" s="10" t="s">
        <v>7539</v>
      </c>
      <c r="S1277" s="11"/>
      <c r="T1277" s="6"/>
      <c r="U1277" s="24" t="str">
        <f>HYPERLINK("https://media.infra-m.ru/1856/1856782/cover/1856782.jpg", "Обложка")</f>
        <v>Обложка</v>
      </c>
      <c r="V1277" s="24" t="str">
        <f>HYPERLINK("https://znanium.ru/catalog/product/2033550", "Ознакомиться")</f>
        <v>Ознакомиться</v>
      </c>
      <c r="W1277" s="8" t="s">
        <v>361</v>
      </c>
      <c r="X1277" s="6"/>
      <c r="Y1277" s="6"/>
      <c r="Z1277" s="6"/>
      <c r="AA1277" s="6" t="s">
        <v>369</v>
      </c>
      <c r="AB1277" s="8"/>
    </row>
    <row r="1278" spans="1:28" s="4" customFormat="1" ht="42" customHeight="1">
      <c r="A1278" s="5">
        <v>0</v>
      </c>
      <c r="B1278" s="6" t="s">
        <v>7540</v>
      </c>
      <c r="C1278" s="7">
        <v>1584</v>
      </c>
      <c r="D1278" s="8" t="s">
        <v>7541</v>
      </c>
      <c r="E1278" s="8" t="s">
        <v>7542</v>
      </c>
      <c r="F1278" s="8" t="s">
        <v>7537</v>
      </c>
      <c r="G1278" s="6" t="s">
        <v>132</v>
      </c>
      <c r="H1278" s="6" t="s">
        <v>39</v>
      </c>
      <c r="I1278" s="8" t="s">
        <v>40</v>
      </c>
      <c r="J1278" s="9">
        <v>1</v>
      </c>
      <c r="K1278" s="9">
        <v>264</v>
      </c>
      <c r="L1278" s="9">
        <v>2025</v>
      </c>
      <c r="M1278" s="8" t="s">
        <v>7543</v>
      </c>
      <c r="N1278" s="8" t="s">
        <v>42</v>
      </c>
      <c r="O1278" s="8" t="s">
        <v>65</v>
      </c>
      <c r="P1278" s="6" t="s">
        <v>44</v>
      </c>
      <c r="Q1278" s="8" t="s">
        <v>45</v>
      </c>
      <c r="R1278" s="10" t="s">
        <v>7539</v>
      </c>
      <c r="S1278" s="11"/>
      <c r="T1278" s="6"/>
      <c r="U1278" s="24" t="str">
        <f>HYPERLINK("https://media.infra-m.ru/2033/2033550/cover/2033550.jpg", "Обложка")</f>
        <v>Обложка</v>
      </c>
      <c r="V1278" s="24" t="str">
        <f>HYPERLINK("https://znanium.ru/catalog/product/2033550", "Ознакомиться")</f>
        <v>Ознакомиться</v>
      </c>
      <c r="W1278" s="8" t="s">
        <v>361</v>
      </c>
      <c r="X1278" s="6"/>
      <c r="Y1278" s="6"/>
      <c r="Z1278" s="6"/>
      <c r="AA1278" s="6" t="s">
        <v>321</v>
      </c>
      <c r="AB1278" s="8"/>
    </row>
    <row r="1279" spans="1:28" s="4" customFormat="1" ht="42" customHeight="1">
      <c r="A1279" s="5">
        <v>0</v>
      </c>
      <c r="B1279" s="6" t="s">
        <v>7544</v>
      </c>
      <c r="C1279" s="13">
        <v>936</v>
      </c>
      <c r="D1279" s="8" t="s">
        <v>7545</v>
      </c>
      <c r="E1279" s="8" t="s">
        <v>7546</v>
      </c>
      <c r="F1279" s="8" t="s">
        <v>6053</v>
      </c>
      <c r="G1279" s="6" t="s">
        <v>81</v>
      </c>
      <c r="H1279" s="6" t="s">
        <v>99</v>
      </c>
      <c r="I1279" s="8"/>
      <c r="J1279" s="9">
        <v>1</v>
      </c>
      <c r="K1279" s="9">
        <v>136</v>
      </c>
      <c r="L1279" s="9">
        <v>2026</v>
      </c>
      <c r="M1279" s="8" t="s">
        <v>7547</v>
      </c>
      <c r="N1279" s="8" t="s">
        <v>42</v>
      </c>
      <c r="O1279" s="8" t="s">
        <v>101</v>
      </c>
      <c r="P1279" s="6" t="s">
        <v>44</v>
      </c>
      <c r="Q1279" s="8" t="s">
        <v>45</v>
      </c>
      <c r="R1279" s="10" t="s">
        <v>6055</v>
      </c>
      <c r="S1279" s="11"/>
      <c r="T1279" s="6"/>
      <c r="U1279" s="24" t="str">
        <f>HYPERLINK("https://media.infra-m.ru/2207/2207037/cover/2207037.jpg", "Обложка")</f>
        <v>Обложка</v>
      </c>
      <c r="V1279" s="24" t="str">
        <f>HYPERLINK("https://znanium.ru/catalog/product/2207037", "Ознакомиться")</f>
        <v>Ознакомиться</v>
      </c>
      <c r="W1279" s="8" t="s">
        <v>6056</v>
      </c>
      <c r="X1279" s="6"/>
      <c r="Y1279" s="6"/>
      <c r="Z1279" s="6"/>
      <c r="AA1279" s="6" t="s">
        <v>76</v>
      </c>
      <c r="AB1279" s="8"/>
    </row>
    <row r="1280" spans="1:28" s="4" customFormat="1" ht="51.95" customHeight="1">
      <c r="A1280" s="5">
        <v>0</v>
      </c>
      <c r="B1280" s="6" t="s">
        <v>7548</v>
      </c>
      <c r="C1280" s="13">
        <v>425.9</v>
      </c>
      <c r="D1280" s="8" t="s">
        <v>7549</v>
      </c>
      <c r="E1280" s="8" t="s">
        <v>7550</v>
      </c>
      <c r="F1280" s="8" t="s">
        <v>7551</v>
      </c>
      <c r="G1280" s="6" t="s">
        <v>38</v>
      </c>
      <c r="H1280" s="6" t="s">
        <v>39</v>
      </c>
      <c r="I1280" s="8" t="s">
        <v>40</v>
      </c>
      <c r="J1280" s="9">
        <v>1</v>
      </c>
      <c r="K1280" s="9">
        <v>116</v>
      </c>
      <c r="L1280" s="9">
        <v>2018</v>
      </c>
      <c r="M1280" s="8" t="s">
        <v>7552</v>
      </c>
      <c r="N1280" s="8" t="s">
        <v>284</v>
      </c>
      <c r="O1280" s="8" t="s">
        <v>312</v>
      </c>
      <c r="P1280" s="6" t="s">
        <v>44</v>
      </c>
      <c r="Q1280" s="8" t="s">
        <v>45</v>
      </c>
      <c r="R1280" s="10" t="s">
        <v>7553</v>
      </c>
      <c r="S1280" s="11"/>
      <c r="T1280" s="6"/>
      <c r="U1280" s="24" t="str">
        <f>HYPERLINK("https://media.infra-m.ru/0947/0947760/cover/947760.jpg", "Обложка")</f>
        <v>Обложка</v>
      </c>
      <c r="V1280" s="24" t="str">
        <f>HYPERLINK("https://znanium.ru/catalog/product/947760", "Ознакомиться")</f>
        <v>Ознакомиться</v>
      </c>
      <c r="W1280" s="8" t="s">
        <v>3955</v>
      </c>
      <c r="X1280" s="6"/>
      <c r="Y1280" s="6"/>
      <c r="Z1280" s="6"/>
      <c r="AA1280" s="6" t="s">
        <v>377</v>
      </c>
      <c r="AB1280" s="8"/>
    </row>
    <row r="1281" spans="1:28" s="4" customFormat="1" ht="51.95" customHeight="1">
      <c r="A1281" s="5">
        <v>0</v>
      </c>
      <c r="B1281" s="6" t="s">
        <v>7554</v>
      </c>
      <c r="C1281" s="7">
        <v>1680</v>
      </c>
      <c r="D1281" s="8" t="s">
        <v>7555</v>
      </c>
      <c r="E1281" s="8" t="s">
        <v>7556</v>
      </c>
      <c r="F1281" s="8" t="s">
        <v>2123</v>
      </c>
      <c r="G1281" s="6" t="s">
        <v>38</v>
      </c>
      <c r="H1281" s="6" t="s">
        <v>39</v>
      </c>
      <c r="I1281" s="8" t="s">
        <v>40</v>
      </c>
      <c r="J1281" s="9">
        <v>1</v>
      </c>
      <c r="K1281" s="9">
        <v>367</v>
      </c>
      <c r="L1281" s="9">
        <v>2021</v>
      </c>
      <c r="M1281" s="8" t="s">
        <v>7557</v>
      </c>
      <c r="N1281" s="8" t="s">
        <v>42</v>
      </c>
      <c r="O1281" s="8" t="s">
        <v>101</v>
      </c>
      <c r="P1281" s="6" t="s">
        <v>44</v>
      </c>
      <c r="Q1281" s="8" t="s">
        <v>45</v>
      </c>
      <c r="R1281" s="10" t="s">
        <v>7558</v>
      </c>
      <c r="S1281" s="11"/>
      <c r="T1281" s="6"/>
      <c r="U1281" s="24" t="str">
        <f>HYPERLINK("https://media.infra-m.ru/1371/1371623/cover/1371623.jpg", "Обложка")</f>
        <v>Обложка</v>
      </c>
      <c r="V1281" s="24" t="str">
        <f>HYPERLINK("https://znanium.ru/catalog/product/1371623", "Ознакомиться")</f>
        <v>Ознакомиться</v>
      </c>
      <c r="W1281" s="8" t="s">
        <v>937</v>
      </c>
      <c r="X1281" s="6"/>
      <c r="Y1281" s="6"/>
      <c r="Z1281" s="6"/>
      <c r="AA1281" s="6" t="s">
        <v>199</v>
      </c>
      <c r="AB1281" s="8"/>
    </row>
    <row r="1282" spans="1:28" s="4" customFormat="1" ht="42" customHeight="1">
      <c r="A1282" s="5">
        <v>0</v>
      </c>
      <c r="B1282" s="6" t="s">
        <v>7559</v>
      </c>
      <c r="C1282" s="7">
        <v>2796</v>
      </c>
      <c r="D1282" s="8" t="s">
        <v>7560</v>
      </c>
      <c r="E1282" s="8" t="s">
        <v>7561</v>
      </c>
      <c r="F1282" s="8" t="s">
        <v>7562</v>
      </c>
      <c r="G1282" s="6" t="s">
        <v>132</v>
      </c>
      <c r="H1282" s="6" t="s">
        <v>99</v>
      </c>
      <c r="I1282" s="8"/>
      <c r="J1282" s="9">
        <v>1</v>
      </c>
      <c r="K1282" s="9">
        <v>448</v>
      </c>
      <c r="L1282" s="9">
        <v>2026</v>
      </c>
      <c r="M1282" s="8" t="s">
        <v>7563</v>
      </c>
      <c r="N1282" s="8" t="s">
        <v>42</v>
      </c>
      <c r="O1282" s="8" t="s">
        <v>101</v>
      </c>
      <c r="P1282" s="6" t="s">
        <v>44</v>
      </c>
      <c r="Q1282" s="8" t="s">
        <v>45</v>
      </c>
      <c r="R1282" s="10" t="s">
        <v>564</v>
      </c>
      <c r="S1282" s="11"/>
      <c r="T1282" s="6"/>
      <c r="U1282" s="24" t="str">
        <f>HYPERLINK("https://media.infra-m.ru/2220/2220956/cover/2220956.jpg", "Обложка")</f>
        <v>Обложка</v>
      </c>
      <c r="V1282" s="24" t="str">
        <f>HYPERLINK("https://znanium.ru/catalog/product/2220956", "Ознакомиться")</f>
        <v>Ознакомиться</v>
      </c>
      <c r="W1282" s="8" t="s">
        <v>1627</v>
      </c>
      <c r="X1282" s="6"/>
      <c r="Y1282" s="6"/>
      <c r="Z1282" s="6"/>
      <c r="AA1282" s="6" t="s">
        <v>1556</v>
      </c>
      <c r="AB1282" s="8"/>
    </row>
    <row r="1283" spans="1:28" s="4" customFormat="1" ht="42" customHeight="1">
      <c r="A1283" s="5">
        <v>0</v>
      </c>
      <c r="B1283" s="6" t="s">
        <v>7564</v>
      </c>
      <c r="C1283" s="7">
        <v>2704.8</v>
      </c>
      <c r="D1283" s="8" t="s">
        <v>7565</v>
      </c>
      <c r="E1283" s="8" t="s">
        <v>7566</v>
      </c>
      <c r="F1283" s="8" t="s">
        <v>7562</v>
      </c>
      <c r="G1283" s="6" t="s">
        <v>81</v>
      </c>
      <c r="H1283" s="6" t="s">
        <v>99</v>
      </c>
      <c r="I1283" s="8"/>
      <c r="J1283" s="9">
        <v>1</v>
      </c>
      <c r="K1283" s="9">
        <v>432</v>
      </c>
      <c r="L1283" s="9">
        <v>2026</v>
      </c>
      <c r="M1283" s="8" t="s">
        <v>7567</v>
      </c>
      <c r="N1283" s="8" t="s">
        <v>42</v>
      </c>
      <c r="O1283" s="8" t="s">
        <v>101</v>
      </c>
      <c r="P1283" s="6" t="s">
        <v>44</v>
      </c>
      <c r="Q1283" s="8" t="s">
        <v>45</v>
      </c>
      <c r="R1283" s="10" t="s">
        <v>874</v>
      </c>
      <c r="S1283" s="11"/>
      <c r="T1283" s="6"/>
      <c r="U1283" s="24" t="str">
        <f>HYPERLINK("https://media.infra-m.ru/2220/2220823/cover/2220823.jpg", "Обложка")</f>
        <v>Обложка</v>
      </c>
      <c r="V1283" s="24" t="str">
        <f>HYPERLINK("https://znanium.ru/catalog/product/1850695", "Ознакомиться")</f>
        <v>Ознакомиться</v>
      </c>
      <c r="W1283" s="8" t="s">
        <v>1627</v>
      </c>
      <c r="X1283" s="6"/>
      <c r="Y1283" s="6"/>
      <c r="Z1283" s="6"/>
      <c r="AA1283" s="6" t="s">
        <v>5198</v>
      </c>
      <c r="AB1283" s="8"/>
    </row>
    <row r="1284" spans="1:28" s="4" customFormat="1" ht="42" customHeight="1">
      <c r="A1284" s="5">
        <v>0</v>
      </c>
      <c r="B1284" s="6" t="s">
        <v>7568</v>
      </c>
      <c r="C1284" s="7">
        <v>1792.8</v>
      </c>
      <c r="D1284" s="8" t="s">
        <v>7569</v>
      </c>
      <c r="E1284" s="8" t="s">
        <v>7570</v>
      </c>
      <c r="F1284" s="8" t="s">
        <v>7571</v>
      </c>
      <c r="G1284" s="6" t="s">
        <v>81</v>
      </c>
      <c r="H1284" s="6" t="s">
        <v>39</v>
      </c>
      <c r="I1284" s="8" t="s">
        <v>4102</v>
      </c>
      <c r="J1284" s="9">
        <v>1</v>
      </c>
      <c r="K1284" s="9">
        <v>299</v>
      </c>
      <c r="L1284" s="9">
        <v>2025</v>
      </c>
      <c r="M1284" s="8" t="s">
        <v>7572</v>
      </c>
      <c r="N1284" s="8" t="s">
        <v>220</v>
      </c>
      <c r="O1284" s="8" t="s">
        <v>296</v>
      </c>
      <c r="P1284" s="6" t="s">
        <v>415</v>
      </c>
      <c r="Q1284" s="8" t="s">
        <v>416</v>
      </c>
      <c r="R1284" s="10" t="s">
        <v>7573</v>
      </c>
      <c r="S1284" s="11"/>
      <c r="T1284" s="6"/>
      <c r="U1284" s="24" t="str">
        <f>HYPERLINK("https://media.infra-m.ru/2178/2178852/cover/2178852.jpg", "Обложка")</f>
        <v>Обложка</v>
      </c>
      <c r="V1284" s="24" t="str">
        <f>HYPERLINK("https://znanium.ru/catalog/product/1709433", "Ознакомиться")</f>
        <v>Ознакомиться</v>
      </c>
      <c r="W1284" s="8" t="s">
        <v>126</v>
      </c>
      <c r="X1284" s="6"/>
      <c r="Y1284" s="6"/>
      <c r="Z1284" s="6"/>
      <c r="AA1284" s="6" t="s">
        <v>7574</v>
      </c>
      <c r="AB1284" s="8"/>
    </row>
    <row r="1285" spans="1:28" s="4" customFormat="1" ht="51.95" customHeight="1">
      <c r="A1285" s="5">
        <v>0</v>
      </c>
      <c r="B1285" s="6" t="s">
        <v>7575</v>
      </c>
      <c r="C1285" s="7">
        <v>1188</v>
      </c>
      <c r="D1285" s="8" t="s">
        <v>7576</v>
      </c>
      <c r="E1285" s="8" t="s">
        <v>7577</v>
      </c>
      <c r="F1285" s="8" t="s">
        <v>1891</v>
      </c>
      <c r="G1285" s="6" t="s">
        <v>132</v>
      </c>
      <c r="H1285" s="6" t="s">
        <v>39</v>
      </c>
      <c r="I1285" s="8" t="s">
        <v>1893</v>
      </c>
      <c r="J1285" s="9">
        <v>1</v>
      </c>
      <c r="K1285" s="9">
        <v>717</v>
      </c>
      <c r="L1285" s="9">
        <v>2024</v>
      </c>
      <c r="M1285" s="8" t="s">
        <v>7578</v>
      </c>
      <c r="N1285" s="8" t="s">
        <v>42</v>
      </c>
      <c r="O1285" s="8" t="s">
        <v>1315</v>
      </c>
      <c r="P1285" s="6" t="s">
        <v>2010</v>
      </c>
      <c r="Q1285" s="8" t="s">
        <v>45</v>
      </c>
      <c r="R1285" s="10" t="s">
        <v>7579</v>
      </c>
      <c r="S1285" s="11"/>
      <c r="T1285" s="6"/>
      <c r="U1285" s="24" t="str">
        <f>HYPERLINK("https://media.infra-m.ru/2135/2135042/cover/2135042.jpg", "Обложка")</f>
        <v>Обложка</v>
      </c>
      <c r="V1285" s="24" t="str">
        <f>HYPERLINK("https://znanium.ru/catalog/product/2227444", "Ознакомиться")</f>
        <v>Ознакомиться</v>
      </c>
      <c r="W1285" s="8"/>
      <c r="X1285" s="6"/>
      <c r="Y1285" s="6"/>
      <c r="Z1285" s="6"/>
      <c r="AA1285" s="6" t="s">
        <v>7580</v>
      </c>
      <c r="AB1285" s="8"/>
    </row>
    <row r="1286" spans="1:28" s="4" customFormat="1" ht="51.95" customHeight="1">
      <c r="A1286" s="5">
        <v>0</v>
      </c>
      <c r="B1286" s="6" t="s">
        <v>7581</v>
      </c>
      <c r="C1286" s="7">
        <v>1440</v>
      </c>
      <c r="D1286" s="8" t="s">
        <v>7582</v>
      </c>
      <c r="E1286" s="8" t="s">
        <v>7583</v>
      </c>
      <c r="F1286" s="8" t="s">
        <v>1891</v>
      </c>
      <c r="G1286" s="6" t="s">
        <v>132</v>
      </c>
      <c r="H1286" s="6" t="s">
        <v>39</v>
      </c>
      <c r="I1286" s="8" t="s">
        <v>1893</v>
      </c>
      <c r="J1286" s="9">
        <v>1</v>
      </c>
      <c r="K1286" s="9">
        <v>724</v>
      </c>
      <c r="L1286" s="9">
        <v>2025</v>
      </c>
      <c r="M1286" s="8" t="s">
        <v>7584</v>
      </c>
      <c r="N1286" s="8" t="s">
        <v>42</v>
      </c>
      <c r="O1286" s="8" t="s">
        <v>1315</v>
      </c>
      <c r="P1286" s="6" t="s">
        <v>2010</v>
      </c>
      <c r="Q1286" s="8" t="s">
        <v>45</v>
      </c>
      <c r="R1286" s="10" t="s">
        <v>7579</v>
      </c>
      <c r="S1286" s="11"/>
      <c r="T1286" s="6"/>
      <c r="U1286" s="24" t="str">
        <f>HYPERLINK("https://media.infra-m.ru/2186/2186439/cover/2186439.jpg", "Обложка")</f>
        <v>Обложка</v>
      </c>
      <c r="V1286" s="24" t="str">
        <f>HYPERLINK("https://znanium.ru/catalog/product/2227444", "Ознакомиться")</f>
        <v>Ознакомиться</v>
      </c>
      <c r="W1286" s="8"/>
      <c r="X1286" s="6"/>
      <c r="Y1286" s="6"/>
      <c r="Z1286" s="6"/>
      <c r="AA1286" s="6" t="s">
        <v>6840</v>
      </c>
      <c r="AB1286" s="8"/>
    </row>
    <row r="1287" spans="1:28" s="4" customFormat="1" ht="51.95" customHeight="1">
      <c r="A1287" s="5">
        <v>0</v>
      </c>
      <c r="B1287" s="6" t="s">
        <v>7585</v>
      </c>
      <c r="C1287" s="7">
        <v>1620</v>
      </c>
      <c r="D1287" s="8" t="s">
        <v>7586</v>
      </c>
      <c r="E1287" s="8" t="s">
        <v>7587</v>
      </c>
      <c r="F1287" s="8" t="s">
        <v>1891</v>
      </c>
      <c r="G1287" s="6" t="s">
        <v>132</v>
      </c>
      <c r="H1287" s="6" t="s">
        <v>39</v>
      </c>
      <c r="I1287" s="8" t="s">
        <v>1893</v>
      </c>
      <c r="J1287" s="9">
        <v>1</v>
      </c>
      <c r="K1287" s="9">
        <v>726</v>
      </c>
      <c r="L1287" s="9">
        <v>2026</v>
      </c>
      <c r="M1287" s="8" t="s">
        <v>7588</v>
      </c>
      <c r="N1287" s="8" t="s">
        <v>42</v>
      </c>
      <c r="O1287" s="8" t="s">
        <v>1315</v>
      </c>
      <c r="P1287" s="6" t="s">
        <v>2010</v>
      </c>
      <c r="Q1287" s="8" t="s">
        <v>45</v>
      </c>
      <c r="R1287" s="10" t="s">
        <v>7579</v>
      </c>
      <c r="S1287" s="11"/>
      <c r="T1287" s="6"/>
      <c r="U1287" s="24" t="str">
        <f>HYPERLINK("https://media.infra-m.ru/2227/2227444/cover/2227444.jpg", "Обложка")</f>
        <v>Обложка</v>
      </c>
      <c r="V1287" s="24" t="str">
        <f>HYPERLINK("https://znanium.ru/catalog/product/2227444", "Ознакомиться")</f>
        <v>Ознакомиться</v>
      </c>
      <c r="W1287" s="8"/>
      <c r="X1287" s="6" t="s">
        <v>1094</v>
      </c>
      <c r="Y1287" s="6"/>
      <c r="Z1287" s="6"/>
      <c r="AA1287" s="6" t="s">
        <v>7589</v>
      </c>
      <c r="AB1287" s="8"/>
    </row>
    <row r="1288" spans="1:28" s="4" customFormat="1" ht="51.95" customHeight="1">
      <c r="A1288" s="5">
        <v>0</v>
      </c>
      <c r="B1288" s="6" t="s">
        <v>7590</v>
      </c>
      <c r="C1288" s="13">
        <v>635.9</v>
      </c>
      <c r="D1288" s="8" t="s">
        <v>7591</v>
      </c>
      <c r="E1288" s="8" t="s">
        <v>7592</v>
      </c>
      <c r="F1288" s="8" t="s">
        <v>1891</v>
      </c>
      <c r="G1288" s="6" t="s">
        <v>81</v>
      </c>
      <c r="H1288" s="6" t="s">
        <v>39</v>
      </c>
      <c r="I1288" s="8" t="s">
        <v>1893</v>
      </c>
      <c r="J1288" s="9">
        <v>1</v>
      </c>
      <c r="K1288" s="9">
        <v>717</v>
      </c>
      <c r="L1288" s="9">
        <v>2021</v>
      </c>
      <c r="M1288" s="8" t="s">
        <v>7593</v>
      </c>
      <c r="N1288" s="8" t="s">
        <v>42</v>
      </c>
      <c r="O1288" s="8" t="s">
        <v>1315</v>
      </c>
      <c r="P1288" s="6" t="s">
        <v>2010</v>
      </c>
      <c r="Q1288" s="8" t="s">
        <v>45</v>
      </c>
      <c r="R1288" s="10" t="s">
        <v>7579</v>
      </c>
      <c r="S1288" s="11"/>
      <c r="T1288" s="6"/>
      <c r="U1288" s="24" t="str">
        <f>HYPERLINK("https://media.infra-m.ru/1231/1231215/cover/1231215.jpg", "Обложка")</f>
        <v>Обложка</v>
      </c>
      <c r="V1288" s="24" t="str">
        <f>HYPERLINK("https://znanium.ru/catalog/product/2227444", "Ознакомиться")</f>
        <v>Ознакомиться</v>
      </c>
      <c r="W1288" s="8"/>
      <c r="X1288" s="6"/>
      <c r="Y1288" s="6"/>
      <c r="Z1288" s="6"/>
      <c r="AA1288" s="6" t="s">
        <v>4541</v>
      </c>
      <c r="AB1288" s="8"/>
    </row>
    <row r="1289" spans="1:28" s="4" customFormat="1" ht="51.95" customHeight="1">
      <c r="A1289" s="5">
        <v>0</v>
      </c>
      <c r="B1289" s="6" t="s">
        <v>7594</v>
      </c>
      <c r="C1289" s="13">
        <v>383.9</v>
      </c>
      <c r="D1289" s="8" t="s">
        <v>7595</v>
      </c>
      <c r="E1289" s="8" t="s">
        <v>7596</v>
      </c>
      <c r="F1289" s="8" t="s">
        <v>1891</v>
      </c>
      <c r="G1289" s="6" t="s">
        <v>132</v>
      </c>
      <c r="H1289" s="6" t="s">
        <v>39</v>
      </c>
      <c r="I1289" s="8"/>
      <c r="J1289" s="9">
        <v>10</v>
      </c>
      <c r="K1289" s="9">
        <v>696</v>
      </c>
      <c r="L1289" s="9">
        <v>2017</v>
      </c>
      <c r="M1289" s="8" t="s">
        <v>7597</v>
      </c>
      <c r="N1289" s="8" t="s">
        <v>42</v>
      </c>
      <c r="O1289" s="8" t="s">
        <v>1315</v>
      </c>
      <c r="P1289" s="6" t="s">
        <v>2150</v>
      </c>
      <c r="Q1289" s="8" t="s">
        <v>287</v>
      </c>
      <c r="R1289" s="10" t="s">
        <v>7579</v>
      </c>
      <c r="S1289" s="11"/>
      <c r="T1289" s="6"/>
      <c r="U1289" s="24" t="str">
        <f>HYPERLINK("https://media.infra-m.ru/0882/0882928/cover/882928.jpg", "Обложка")</f>
        <v>Обложка</v>
      </c>
      <c r="V1289" s="24" t="str">
        <f>HYPERLINK("https://znanium.ru/catalog/product/2227444", "Ознакомиться")</f>
        <v>Ознакомиться</v>
      </c>
      <c r="W1289" s="8"/>
      <c r="X1289" s="6"/>
      <c r="Y1289" s="6"/>
      <c r="Z1289" s="6"/>
      <c r="AA1289" s="6" t="s">
        <v>369</v>
      </c>
      <c r="AB1289" s="8"/>
    </row>
    <row r="1290" spans="1:28" s="4" customFormat="1" ht="42" customHeight="1">
      <c r="A1290" s="5">
        <v>0</v>
      </c>
      <c r="B1290" s="6" t="s">
        <v>7598</v>
      </c>
      <c r="C1290" s="7">
        <v>1877.9</v>
      </c>
      <c r="D1290" s="8" t="s">
        <v>7599</v>
      </c>
      <c r="E1290" s="8" t="s">
        <v>7600</v>
      </c>
      <c r="F1290" s="8" t="s">
        <v>7601</v>
      </c>
      <c r="G1290" s="6" t="s">
        <v>132</v>
      </c>
      <c r="H1290" s="6" t="s">
        <v>39</v>
      </c>
      <c r="I1290" s="8" t="s">
        <v>336</v>
      </c>
      <c r="J1290" s="9">
        <v>1</v>
      </c>
      <c r="K1290" s="9">
        <v>348</v>
      </c>
      <c r="L1290" s="9">
        <v>2023</v>
      </c>
      <c r="M1290" s="8" t="s">
        <v>7602</v>
      </c>
      <c r="N1290" s="8" t="s">
        <v>42</v>
      </c>
      <c r="O1290" s="8" t="s">
        <v>101</v>
      </c>
      <c r="P1290" s="6" t="s">
        <v>44</v>
      </c>
      <c r="Q1290" s="8" t="s">
        <v>45</v>
      </c>
      <c r="R1290" s="10" t="s">
        <v>6055</v>
      </c>
      <c r="S1290" s="11"/>
      <c r="T1290" s="6"/>
      <c r="U1290" s="24" t="str">
        <f>HYPERLINK("https://media.infra-m.ru/1976/1976148/cover/1976148.jpg", "Обложка")</f>
        <v>Обложка</v>
      </c>
      <c r="V1290" s="24" t="str">
        <f>HYPERLINK("https://znanium.ru/catalog/product/1018179", "Ознакомиться")</f>
        <v>Ознакомиться</v>
      </c>
      <c r="W1290" s="8" t="s">
        <v>103</v>
      </c>
      <c r="X1290" s="6"/>
      <c r="Y1290" s="6"/>
      <c r="Z1290" s="6"/>
      <c r="AA1290" s="6" t="s">
        <v>76</v>
      </c>
      <c r="AB1290" s="8"/>
    </row>
    <row r="1291" spans="1:28" s="4" customFormat="1" ht="51.95" customHeight="1">
      <c r="A1291" s="5">
        <v>0</v>
      </c>
      <c r="B1291" s="6" t="s">
        <v>7603</v>
      </c>
      <c r="C1291" s="7">
        <v>1296</v>
      </c>
      <c r="D1291" s="8" t="s">
        <v>7604</v>
      </c>
      <c r="E1291" s="8" t="s">
        <v>7605</v>
      </c>
      <c r="F1291" s="8" t="s">
        <v>7606</v>
      </c>
      <c r="G1291" s="6" t="s">
        <v>38</v>
      </c>
      <c r="H1291" s="6" t="s">
        <v>39</v>
      </c>
      <c r="I1291" s="8" t="s">
        <v>40</v>
      </c>
      <c r="J1291" s="9">
        <v>1</v>
      </c>
      <c r="K1291" s="9">
        <v>216</v>
      </c>
      <c r="L1291" s="9">
        <v>2025</v>
      </c>
      <c r="M1291" s="8" t="s">
        <v>7607</v>
      </c>
      <c r="N1291" s="8" t="s">
        <v>229</v>
      </c>
      <c r="O1291" s="8" t="s">
        <v>230</v>
      </c>
      <c r="P1291" s="6" t="s">
        <v>44</v>
      </c>
      <c r="Q1291" s="8" t="s">
        <v>1152</v>
      </c>
      <c r="R1291" s="10" t="s">
        <v>7608</v>
      </c>
      <c r="S1291" s="11"/>
      <c r="T1291" s="6"/>
      <c r="U1291" s="24" t="str">
        <f>HYPERLINK("https://media.infra-m.ru/2161/2161368/cover/2161368.jpg", "Обложка")</f>
        <v>Обложка</v>
      </c>
      <c r="V1291" s="24" t="str">
        <f>HYPERLINK("https://znanium.ru/catalog/product/2161368", "Ознакомиться")</f>
        <v>Ознакомиться</v>
      </c>
      <c r="W1291" s="8" t="s">
        <v>516</v>
      </c>
      <c r="X1291" s="6"/>
      <c r="Y1291" s="6"/>
      <c r="Z1291" s="6"/>
      <c r="AA1291" s="6" t="s">
        <v>277</v>
      </c>
      <c r="AB1291" s="8"/>
    </row>
    <row r="1292" spans="1:28" s="4" customFormat="1" ht="42" customHeight="1">
      <c r="A1292" s="5">
        <v>0</v>
      </c>
      <c r="B1292" s="6" t="s">
        <v>7609</v>
      </c>
      <c r="C1292" s="7">
        <v>1056</v>
      </c>
      <c r="D1292" s="8" t="s">
        <v>7610</v>
      </c>
      <c r="E1292" s="8" t="s">
        <v>7611</v>
      </c>
      <c r="F1292" s="8" t="s">
        <v>630</v>
      </c>
      <c r="G1292" s="6" t="s">
        <v>38</v>
      </c>
      <c r="H1292" s="6" t="s">
        <v>39</v>
      </c>
      <c r="I1292" s="8" t="s">
        <v>40</v>
      </c>
      <c r="J1292" s="9">
        <v>1</v>
      </c>
      <c r="K1292" s="9">
        <v>189</v>
      </c>
      <c r="L1292" s="9">
        <v>2024</v>
      </c>
      <c r="M1292" s="8" t="s">
        <v>7612</v>
      </c>
      <c r="N1292" s="8" t="s">
        <v>42</v>
      </c>
      <c r="O1292" s="8" t="s">
        <v>101</v>
      </c>
      <c r="P1292" s="6" t="s">
        <v>44</v>
      </c>
      <c r="Q1292" s="8" t="s">
        <v>45</v>
      </c>
      <c r="R1292" s="10" t="s">
        <v>2490</v>
      </c>
      <c r="S1292" s="11"/>
      <c r="T1292" s="6"/>
      <c r="U1292" s="24" t="str">
        <f>HYPERLINK("https://media.infra-m.ru/2086/2086803/cover/2086803.jpg", "Обложка")</f>
        <v>Обложка</v>
      </c>
      <c r="V1292" s="24" t="str">
        <f>HYPERLINK("https://znanium.ru/catalog/product/2086803", "Ознакомиться")</f>
        <v>Ознакомиться</v>
      </c>
      <c r="W1292" s="8" t="s">
        <v>633</v>
      </c>
      <c r="X1292" s="6"/>
      <c r="Y1292" s="6"/>
      <c r="Z1292" s="6"/>
      <c r="AA1292" s="6" t="s">
        <v>199</v>
      </c>
      <c r="AB1292" s="8"/>
    </row>
    <row r="1293" spans="1:28" s="4" customFormat="1" ht="42" customHeight="1">
      <c r="A1293" s="5">
        <v>0</v>
      </c>
      <c r="B1293" s="6" t="s">
        <v>7613</v>
      </c>
      <c r="C1293" s="7">
        <v>1668</v>
      </c>
      <c r="D1293" s="8" t="s">
        <v>7614</v>
      </c>
      <c r="E1293" s="8" t="s">
        <v>7615</v>
      </c>
      <c r="F1293" s="8" t="s">
        <v>1891</v>
      </c>
      <c r="G1293" s="6" t="s">
        <v>132</v>
      </c>
      <c r="H1293" s="6" t="s">
        <v>39</v>
      </c>
      <c r="I1293" s="8"/>
      <c r="J1293" s="9">
        <v>1</v>
      </c>
      <c r="K1293" s="9">
        <v>386</v>
      </c>
      <c r="L1293" s="9">
        <v>2026</v>
      </c>
      <c r="M1293" s="8" t="s">
        <v>7616</v>
      </c>
      <c r="N1293" s="8" t="s">
        <v>42</v>
      </c>
      <c r="O1293" s="8" t="s">
        <v>189</v>
      </c>
      <c r="P1293" s="6" t="s">
        <v>286</v>
      </c>
      <c r="Q1293" s="8" t="s">
        <v>45</v>
      </c>
      <c r="R1293" s="10" t="s">
        <v>7617</v>
      </c>
      <c r="S1293" s="11"/>
      <c r="T1293" s="6"/>
      <c r="U1293" s="24" t="str">
        <f>HYPERLINK("https://media.infra-m.ru/2218/2218704/cover/2218704.jpg", "Обложка")</f>
        <v>Обложка</v>
      </c>
      <c r="V1293" s="24" t="str">
        <f>HYPERLINK("https://znanium.ru/catalog/product/2218704", "Ознакомиться")</f>
        <v>Ознакомиться</v>
      </c>
      <c r="W1293" s="8"/>
      <c r="X1293" s="6" t="s">
        <v>838</v>
      </c>
      <c r="Y1293" s="6"/>
      <c r="Z1293" s="6"/>
      <c r="AA1293" s="6" t="s">
        <v>833</v>
      </c>
      <c r="AB1293" s="8"/>
    </row>
    <row r="1294" spans="1:28" s="4" customFormat="1" ht="44.1" customHeight="1">
      <c r="A1294" s="5">
        <v>0</v>
      </c>
      <c r="B1294" s="6" t="s">
        <v>7618</v>
      </c>
      <c r="C1294" s="7">
        <v>1512</v>
      </c>
      <c r="D1294" s="8" t="s">
        <v>7619</v>
      </c>
      <c r="E1294" s="8" t="s">
        <v>7620</v>
      </c>
      <c r="F1294" s="8" t="s">
        <v>2154</v>
      </c>
      <c r="G1294" s="6" t="s">
        <v>132</v>
      </c>
      <c r="H1294" s="6" t="s">
        <v>39</v>
      </c>
      <c r="I1294" s="8" t="s">
        <v>40</v>
      </c>
      <c r="J1294" s="9">
        <v>1</v>
      </c>
      <c r="K1294" s="9">
        <v>251</v>
      </c>
      <c r="L1294" s="9">
        <v>2024</v>
      </c>
      <c r="M1294" s="8" t="s">
        <v>7621</v>
      </c>
      <c r="N1294" s="8" t="s">
        <v>42</v>
      </c>
      <c r="O1294" s="8" t="s">
        <v>189</v>
      </c>
      <c r="P1294" s="6" t="s">
        <v>44</v>
      </c>
      <c r="Q1294" s="8" t="s">
        <v>45</v>
      </c>
      <c r="R1294" s="10" t="s">
        <v>7622</v>
      </c>
      <c r="S1294" s="11"/>
      <c r="T1294" s="6"/>
      <c r="U1294" s="24" t="str">
        <f>HYPERLINK("https://media.infra-m.ru/2137/2137881/cover/2137881.jpg", "Обложка")</f>
        <v>Обложка</v>
      </c>
      <c r="V1294" s="24" t="str">
        <f>HYPERLINK("https://znanium.ru/catalog/product/2137881", "Ознакомиться")</f>
        <v>Ознакомиться</v>
      </c>
      <c r="W1294" s="8" t="s">
        <v>2157</v>
      </c>
      <c r="X1294" s="6"/>
      <c r="Y1294" s="6"/>
      <c r="Z1294" s="6"/>
      <c r="AA1294" s="6" t="s">
        <v>58</v>
      </c>
      <c r="AB1294" s="8"/>
    </row>
    <row r="1295" spans="1:28" s="4" customFormat="1" ht="42" customHeight="1">
      <c r="A1295" s="5">
        <v>0</v>
      </c>
      <c r="B1295" s="6" t="s">
        <v>7623</v>
      </c>
      <c r="C1295" s="7">
        <v>1392</v>
      </c>
      <c r="D1295" s="8" t="s">
        <v>7624</v>
      </c>
      <c r="E1295" s="8" t="s">
        <v>7625</v>
      </c>
      <c r="F1295" s="8" t="s">
        <v>2154</v>
      </c>
      <c r="G1295" s="6" t="s">
        <v>132</v>
      </c>
      <c r="H1295" s="6" t="s">
        <v>39</v>
      </c>
      <c r="I1295" s="8" t="s">
        <v>40</v>
      </c>
      <c r="J1295" s="9">
        <v>1</v>
      </c>
      <c r="K1295" s="9">
        <v>252</v>
      </c>
      <c r="L1295" s="9">
        <v>2022</v>
      </c>
      <c r="M1295" s="8" t="s">
        <v>7626</v>
      </c>
      <c r="N1295" s="8" t="s">
        <v>42</v>
      </c>
      <c r="O1295" s="8" t="s">
        <v>189</v>
      </c>
      <c r="P1295" s="6" t="s">
        <v>44</v>
      </c>
      <c r="Q1295" s="8" t="s">
        <v>45</v>
      </c>
      <c r="R1295" s="10" t="s">
        <v>7627</v>
      </c>
      <c r="S1295" s="11"/>
      <c r="T1295" s="6"/>
      <c r="U1295" s="24" t="str">
        <f>HYPERLINK("https://media.infra-m.ru/1863/1863096/cover/1863096.jpg", "Обложка")</f>
        <v>Обложка</v>
      </c>
      <c r="V1295" s="24" t="str">
        <f>HYPERLINK("https://znanium.ru/catalog/product/1863096", "Ознакомиться")</f>
        <v>Ознакомиться</v>
      </c>
      <c r="W1295" s="8" t="s">
        <v>2157</v>
      </c>
      <c r="X1295" s="6"/>
      <c r="Y1295" s="6"/>
      <c r="Z1295" s="6"/>
      <c r="AA1295" s="6" t="s">
        <v>111</v>
      </c>
      <c r="AB1295" s="8"/>
    </row>
    <row r="1296" spans="1:28" s="4" customFormat="1" ht="42" customHeight="1">
      <c r="A1296" s="5">
        <v>0</v>
      </c>
      <c r="B1296" s="6" t="s">
        <v>7628</v>
      </c>
      <c r="C1296" s="7">
        <v>1800</v>
      </c>
      <c r="D1296" s="8" t="s">
        <v>7629</v>
      </c>
      <c r="E1296" s="8" t="s">
        <v>7630</v>
      </c>
      <c r="F1296" s="8" t="s">
        <v>3375</v>
      </c>
      <c r="G1296" s="6" t="s">
        <v>38</v>
      </c>
      <c r="H1296" s="6" t="s">
        <v>39</v>
      </c>
      <c r="I1296" s="8" t="s">
        <v>40</v>
      </c>
      <c r="J1296" s="9">
        <v>1</v>
      </c>
      <c r="K1296" s="9">
        <v>357</v>
      </c>
      <c r="L1296" s="9">
        <v>2022</v>
      </c>
      <c r="M1296" s="8" t="s">
        <v>7631</v>
      </c>
      <c r="N1296" s="8" t="s">
        <v>42</v>
      </c>
      <c r="O1296" s="8" t="s">
        <v>43</v>
      </c>
      <c r="P1296" s="6" t="s">
        <v>44</v>
      </c>
      <c r="Q1296" s="8" t="s">
        <v>45</v>
      </c>
      <c r="R1296" s="10" t="s">
        <v>1203</v>
      </c>
      <c r="S1296" s="11"/>
      <c r="T1296" s="6"/>
      <c r="U1296" s="24" t="str">
        <f>HYPERLINK("https://media.infra-m.ru/1869/1869670/cover/1869670.jpg", "Обложка")</f>
        <v>Обложка</v>
      </c>
      <c r="V1296" s="24" t="str">
        <f>HYPERLINK("https://znanium.ru/catalog/product/1869670", "Ознакомиться")</f>
        <v>Ознакомиться</v>
      </c>
      <c r="W1296" s="8" t="s">
        <v>3378</v>
      </c>
      <c r="X1296" s="6"/>
      <c r="Y1296" s="6"/>
      <c r="Z1296" s="6"/>
      <c r="AA1296" s="6" t="s">
        <v>168</v>
      </c>
      <c r="AB1296" s="8"/>
    </row>
    <row r="1297" spans="1:28" s="4" customFormat="1" ht="42" customHeight="1">
      <c r="A1297" s="5">
        <v>0</v>
      </c>
      <c r="B1297" s="6" t="s">
        <v>7632</v>
      </c>
      <c r="C1297" s="7">
        <v>1068</v>
      </c>
      <c r="D1297" s="8" t="s">
        <v>7633</v>
      </c>
      <c r="E1297" s="8" t="s">
        <v>7634</v>
      </c>
      <c r="F1297" s="8" t="s">
        <v>7635</v>
      </c>
      <c r="G1297" s="6" t="s">
        <v>38</v>
      </c>
      <c r="H1297" s="6" t="s">
        <v>39</v>
      </c>
      <c r="I1297" s="8" t="s">
        <v>40</v>
      </c>
      <c r="J1297" s="9">
        <v>1</v>
      </c>
      <c r="K1297" s="9">
        <v>166</v>
      </c>
      <c r="L1297" s="9">
        <v>2026</v>
      </c>
      <c r="M1297" s="8" t="s">
        <v>7636</v>
      </c>
      <c r="N1297" s="8" t="s">
        <v>42</v>
      </c>
      <c r="O1297" s="8" t="s">
        <v>65</v>
      </c>
      <c r="P1297" s="6" t="s">
        <v>44</v>
      </c>
      <c r="Q1297" s="8" t="s">
        <v>45</v>
      </c>
      <c r="R1297" s="10" t="s">
        <v>1873</v>
      </c>
      <c r="S1297" s="11"/>
      <c r="T1297" s="6"/>
      <c r="U1297" s="24" t="str">
        <f>HYPERLINK("https://media.infra-m.ru/2212/2212643/cover/2212643.jpg", "Обложка")</f>
        <v>Обложка</v>
      </c>
      <c r="V1297" s="24" t="str">
        <f>HYPERLINK("https://znanium.ru/catalog/product/2212643", "Ознакомиться")</f>
        <v>Ознакомиться</v>
      </c>
      <c r="W1297" s="8" t="s">
        <v>2080</v>
      </c>
      <c r="X1297" s="6"/>
      <c r="Y1297" s="6"/>
      <c r="Z1297" s="6"/>
      <c r="AA1297" s="6" t="s">
        <v>199</v>
      </c>
      <c r="AB1297" s="8"/>
    </row>
    <row r="1298" spans="1:28" s="4" customFormat="1" ht="51.95" customHeight="1">
      <c r="A1298" s="5">
        <v>0</v>
      </c>
      <c r="B1298" s="6" t="s">
        <v>7637</v>
      </c>
      <c r="C1298" s="7">
        <v>1096.8</v>
      </c>
      <c r="D1298" s="8" t="s">
        <v>7638</v>
      </c>
      <c r="E1298" s="8" t="s">
        <v>7639</v>
      </c>
      <c r="F1298" s="8" t="s">
        <v>7640</v>
      </c>
      <c r="G1298" s="6" t="s">
        <v>38</v>
      </c>
      <c r="H1298" s="6" t="s">
        <v>39</v>
      </c>
      <c r="I1298" s="8" t="s">
        <v>40</v>
      </c>
      <c r="J1298" s="9">
        <v>1</v>
      </c>
      <c r="K1298" s="9">
        <v>198</v>
      </c>
      <c r="L1298" s="9">
        <v>2024</v>
      </c>
      <c r="M1298" s="8" t="s">
        <v>7641</v>
      </c>
      <c r="N1298" s="8" t="s">
        <v>42</v>
      </c>
      <c r="O1298" s="8" t="s">
        <v>65</v>
      </c>
      <c r="P1298" s="6" t="s">
        <v>44</v>
      </c>
      <c r="Q1298" s="8" t="s">
        <v>45</v>
      </c>
      <c r="R1298" s="10" t="s">
        <v>7642</v>
      </c>
      <c r="S1298" s="11"/>
      <c r="T1298" s="6"/>
      <c r="U1298" s="24" t="str">
        <f>HYPERLINK("https://media.infra-m.ru/2080/2080774/cover/2080774.jpg", "Обложка")</f>
        <v>Обложка</v>
      </c>
      <c r="V1298" s="24" t="str">
        <f>HYPERLINK("https://znanium.ru/catalog/product/1111369", "Ознакомиться")</f>
        <v>Ознакомиться</v>
      </c>
      <c r="W1298" s="8" t="s">
        <v>2391</v>
      </c>
      <c r="X1298" s="6"/>
      <c r="Y1298" s="6"/>
      <c r="Z1298" s="6"/>
      <c r="AA1298" s="6" t="s">
        <v>199</v>
      </c>
      <c r="AB1298" s="8"/>
    </row>
    <row r="1299" spans="1:28" s="4" customFormat="1" ht="51.95" customHeight="1">
      <c r="A1299" s="5">
        <v>0</v>
      </c>
      <c r="B1299" s="6" t="s">
        <v>7643</v>
      </c>
      <c r="C1299" s="7">
        <v>1044</v>
      </c>
      <c r="D1299" s="8" t="s">
        <v>7644</v>
      </c>
      <c r="E1299" s="8" t="s">
        <v>7645</v>
      </c>
      <c r="F1299" s="8" t="s">
        <v>7646</v>
      </c>
      <c r="G1299" s="6" t="s">
        <v>38</v>
      </c>
      <c r="H1299" s="6" t="s">
        <v>39</v>
      </c>
      <c r="I1299" s="8" t="s">
        <v>40</v>
      </c>
      <c r="J1299" s="9">
        <v>1</v>
      </c>
      <c r="K1299" s="9">
        <v>189</v>
      </c>
      <c r="L1299" s="9">
        <v>2024</v>
      </c>
      <c r="M1299" s="8" t="s">
        <v>7647</v>
      </c>
      <c r="N1299" s="8" t="s">
        <v>42</v>
      </c>
      <c r="O1299" s="8" t="s">
        <v>65</v>
      </c>
      <c r="P1299" s="6" t="s">
        <v>44</v>
      </c>
      <c r="Q1299" s="8" t="s">
        <v>45</v>
      </c>
      <c r="R1299" s="10" t="s">
        <v>7648</v>
      </c>
      <c r="S1299" s="11"/>
      <c r="T1299" s="6"/>
      <c r="U1299" s="24" t="str">
        <f>HYPERLINK("https://media.infra-m.ru/2117/2117165/cover/2117165.jpg", "Обложка")</f>
        <v>Обложка</v>
      </c>
      <c r="V1299" s="24" t="str">
        <f>HYPERLINK("https://znanium.ru/catalog/product/2117165", "Ознакомиться")</f>
        <v>Ознакомиться</v>
      </c>
      <c r="W1299" s="8" t="s">
        <v>516</v>
      </c>
      <c r="X1299" s="6"/>
      <c r="Y1299" s="6"/>
      <c r="Z1299" s="6"/>
      <c r="AA1299" s="6" t="s">
        <v>199</v>
      </c>
      <c r="AB1299" s="8"/>
    </row>
    <row r="1300" spans="1:28" s="4" customFormat="1" ht="51.95" customHeight="1">
      <c r="A1300" s="5">
        <v>0</v>
      </c>
      <c r="B1300" s="6" t="s">
        <v>7649</v>
      </c>
      <c r="C1300" s="7">
        <v>1096.8</v>
      </c>
      <c r="D1300" s="8" t="s">
        <v>7650</v>
      </c>
      <c r="E1300" s="8" t="s">
        <v>7651</v>
      </c>
      <c r="F1300" s="8" t="s">
        <v>7652</v>
      </c>
      <c r="G1300" s="6" t="s">
        <v>132</v>
      </c>
      <c r="H1300" s="6" t="s">
        <v>39</v>
      </c>
      <c r="I1300" s="8" t="s">
        <v>40</v>
      </c>
      <c r="J1300" s="9">
        <v>1</v>
      </c>
      <c r="K1300" s="9">
        <v>175</v>
      </c>
      <c r="L1300" s="9">
        <v>2025</v>
      </c>
      <c r="M1300" s="8" t="s">
        <v>7653</v>
      </c>
      <c r="N1300" s="8" t="s">
        <v>42</v>
      </c>
      <c r="O1300" s="8" t="s">
        <v>65</v>
      </c>
      <c r="P1300" s="6" t="s">
        <v>44</v>
      </c>
      <c r="Q1300" s="8" t="s">
        <v>45</v>
      </c>
      <c r="R1300" s="10" t="s">
        <v>7654</v>
      </c>
      <c r="S1300" s="11"/>
      <c r="T1300" s="6"/>
      <c r="U1300" s="24" t="str">
        <f>HYPERLINK("https://media.infra-m.ru/2204/2204115/cover/2204115.jpg", "Обложка")</f>
        <v>Обложка</v>
      </c>
      <c r="V1300" s="24" t="str">
        <f>HYPERLINK("https://znanium.ru/catalog/product/1913025", "Ознакомиться")</f>
        <v>Ознакомиться</v>
      </c>
      <c r="W1300" s="8" t="s">
        <v>846</v>
      </c>
      <c r="X1300" s="6"/>
      <c r="Y1300" s="6"/>
      <c r="Z1300" s="6"/>
      <c r="AA1300" s="6" t="s">
        <v>339</v>
      </c>
      <c r="AB1300" s="8"/>
    </row>
    <row r="1301" spans="1:28" s="4" customFormat="1" ht="42" customHeight="1">
      <c r="A1301" s="5">
        <v>0</v>
      </c>
      <c r="B1301" s="6" t="s">
        <v>7655</v>
      </c>
      <c r="C1301" s="7">
        <v>1344</v>
      </c>
      <c r="D1301" s="8" t="s">
        <v>7656</v>
      </c>
      <c r="E1301" s="8" t="s">
        <v>7657</v>
      </c>
      <c r="F1301" s="8" t="s">
        <v>7658</v>
      </c>
      <c r="G1301" s="6" t="s">
        <v>38</v>
      </c>
      <c r="H1301" s="6" t="s">
        <v>39</v>
      </c>
      <c r="I1301" s="8" t="s">
        <v>40</v>
      </c>
      <c r="J1301" s="9">
        <v>1</v>
      </c>
      <c r="K1301" s="9">
        <v>218</v>
      </c>
      <c r="L1301" s="9">
        <v>2025</v>
      </c>
      <c r="M1301" s="8" t="s">
        <v>7659</v>
      </c>
      <c r="N1301" s="8" t="s">
        <v>229</v>
      </c>
      <c r="O1301" s="8" t="s">
        <v>230</v>
      </c>
      <c r="P1301" s="6" t="s">
        <v>44</v>
      </c>
      <c r="Q1301" s="8" t="s">
        <v>45</v>
      </c>
      <c r="R1301" s="10" t="s">
        <v>508</v>
      </c>
      <c r="S1301" s="11"/>
      <c r="T1301" s="6"/>
      <c r="U1301" s="24" t="str">
        <f>HYPERLINK("https://media.infra-m.ru/2147/2147283/cover/2147283.jpg", "Обложка")</f>
        <v>Обложка</v>
      </c>
      <c r="V1301" s="24" t="str">
        <f>HYPERLINK("https://znanium.ru/catalog/product/2147283", "Ознакомиться")</f>
        <v>Ознакомиться</v>
      </c>
      <c r="W1301" s="8" t="s">
        <v>7660</v>
      </c>
      <c r="X1301" s="6"/>
      <c r="Y1301" s="6"/>
      <c r="Z1301" s="6"/>
      <c r="AA1301" s="6" t="s">
        <v>159</v>
      </c>
      <c r="AB1301" s="8"/>
    </row>
    <row r="1302" spans="1:28" s="4" customFormat="1" ht="51.95" customHeight="1">
      <c r="A1302" s="5">
        <v>0</v>
      </c>
      <c r="B1302" s="6" t="s">
        <v>7661</v>
      </c>
      <c r="C1302" s="7">
        <v>1336.8</v>
      </c>
      <c r="D1302" s="8" t="s">
        <v>7662</v>
      </c>
      <c r="E1302" s="8" t="s">
        <v>7663</v>
      </c>
      <c r="F1302" s="8" t="s">
        <v>7664</v>
      </c>
      <c r="G1302" s="6" t="s">
        <v>38</v>
      </c>
      <c r="H1302" s="6" t="s">
        <v>39</v>
      </c>
      <c r="I1302" s="8" t="s">
        <v>40</v>
      </c>
      <c r="J1302" s="9">
        <v>1</v>
      </c>
      <c r="K1302" s="9">
        <v>214</v>
      </c>
      <c r="L1302" s="9">
        <v>2025</v>
      </c>
      <c r="M1302" s="8" t="s">
        <v>7665</v>
      </c>
      <c r="N1302" s="8" t="s">
        <v>42</v>
      </c>
      <c r="O1302" s="8" t="s">
        <v>189</v>
      </c>
      <c r="P1302" s="6" t="s">
        <v>44</v>
      </c>
      <c r="Q1302" s="8" t="s">
        <v>45</v>
      </c>
      <c r="R1302" s="10" t="s">
        <v>7666</v>
      </c>
      <c r="S1302" s="11"/>
      <c r="T1302" s="6"/>
      <c r="U1302" s="24" t="str">
        <f>HYPERLINK("https://media.infra-m.ru/2194/2194364/cover/2194364.jpg", "Обложка")</f>
        <v>Обложка</v>
      </c>
      <c r="V1302" s="24" t="str">
        <f>HYPERLINK("https://znanium.ru/catalog/product/1938028", "Ознакомиться")</f>
        <v>Ознакомиться</v>
      </c>
      <c r="W1302" s="8" t="s">
        <v>207</v>
      </c>
      <c r="X1302" s="6"/>
      <c r="Y1302" s="6"/>
      <c r="Z1302" s="6"/>
      <c r="AA1302" s="6" t="s">
        <v>290</v>
      </c>
      <c r="AB1302" s="8"/>
    </row>
    <row r="1303" spans="1:28" s="4" customFormat="1" ht="42" customHeight="1">
      <c r="A1303" s="5">
        <v>0</v>
      </c>
      <c r="B1303" s="6" t="s">
        <v>7667</v>
      </c>
      <c r="C1303" s="7">
        <v>1464</v>
      </c>
      <c r="D1303" s="8" t="s">
        <v>7668</v>
      </c>
      <c r="E1303" s="8" t="s">
        <v>7669</v>
      </c>
      <c r="F1303" s="8" t="s">
        <v>7670</v>
      </c>
      <c r="G1303" s="6" t="s">
        <v>38</v>
      </c>
      <c r="H1303" s="6" t="s">
        <v>39</v>
      </c>
      <c r="I1303" s="8" t="s">
        <v>40</v>
      </c>
      <c r="J1303" s="9">
        <v>1</v>
      </c>
      <c r="K1303" s="9">
        <v>313</v>
      </c>
      <c r="L1303" s="9">
        <v>2022</v>
      </c>
      <c r="M1303" s="8" t="s">
        <v>7671</v>
      </c>
      <c r="N1303" s="8" t="s">
        <v>54</v>
      </c>
      <c r="O1303" s="8" t="s">
        <v>2811</v>
      </c>
      <c r="P1303" s="6" t="s">
        <v>44</v>
      </c>
      <c r="Q1303" s="8" t="s">
        <v>45</v>
      </c>
      <c r="R1303" s="10" t="s">
        <v>7672</v>
      </c>
      <c r="S1303" s="11"/>
      <c r="T1303" s="6"/>
      <c r="U1303" s="24" t="str">
        <f>HYPERLINK("https://media.infra-m.ru/1850/1850624/cover/1850624.jpg", "Обложка")</f>
        <v>Обложка</v>
      </c>
      <c r="V1303" s="24" t="str">
        <f>HYPERLINK("https://znanium.ru/catalog/product/1850624", "Ознакомиться")</f>
        <v>Ознакомиться</v>
      </c>
      <c r="W1303" s="8" t="s">
        <v>846</v>
      </c>
      <c r="X1303" s="6"/>
      <c r="Y1303" s="6"/>
      <c r="Z1303" s="6"/>
      <c r="AA1303" s="6" t="s">
        <v>377</v>
      </c>
      <c r="AB1303" s="8"/>
    </row>
    <row r="1304" spans="1:28" s="4" customFormat="1" ht="42" customHeight="1">
      <c r="A1304" s="5">
        <v>0</v>
      </c>
      <c r="B1304" s="6" t="s">
        <v>7673</v>
      </c>
      <c r="C1304" s="7">
        <v>1236</v>
      </c>
      <c r="D1304" s="8" t="s">
        <v>7674</v>
      </c>
      <c r="E1304" s="8" t="s">
        <v>7675</v>
      </c>
      <c r="F1304" s="8" t="s">
        <v>7676</v>
      </c>
      <c r="G1304" s="6" t="s">
        <v>38</v>
      </c>
      <c r="H1304" s="6" t="s">
        <v>39</v>
      </c>
      <c r="I1304" s="8" t="s">
        <v>40</v>
      </c>
      <c r="J1304" s="9">
        <v>1</v>
      </c>
      <c r="K1304" s="9">
        <v>278</v>
      </c>
      <c r="L1304" s="9">
        <v>2021</v>
      </c>
      <c r="M1304" s="8" t="s">
        <v>7677</v>
      </c>
      <c r="N1304" s="8" t="s">
        <v>42</v>
      </c>
      <c r="O1304" s="8" t="s">
        <v>189</v>
      </c>
      <c r="P1304" s="6" t="s">
        <v>44</v>
      </c>
      <c r="Q1304" s="8" t="s">
        <v>45</v>
      </c>
      <c r="R1304" s="10" t="s">
        <v>2503</v>
      </c>
      <c r="S1304" s="11"/>
      <c r="T1304" s="6"/>
      <c r="U1304" s="24" t="str">
        <f>HYPERLINK("https://media.infra-m.ru/1290/1290957/cover/1290957.jpg", "Обложка")</f>
        <v>Обложка</v>
      </c>
      <c r="V1304" s="24" t="str">
        <f>HYPERLINK("https://znanium.ru/catalog/product/1290957", "Ознакомиться")</f>
        <v>Ознакомиться</v>
      </c>
      <c r="W1304" s="8" t="s">
        <v>5008</v>
      </c>
      <c r="X1304" s="6"/>
      <c r="Y1304" s="6"/>
      <c r="Z1304" s="6"/>
      <c r="AA1304" s="6" t="s">
        <v>68</v>
      </c>
      <c r="AB1304" s="8"/>
    </row>
    <row r="1305" spans="1:28" s="4" customFormat="1" ht="42" customHeight="1">
      <c r="A1305" s="5">
        <v>0</v>
      </c>
      <c r="B1305" s="6" t="s">
        <v>7678</v>
      </c>
      <c r="C1305" s="7">
        <v>1188</v>
      </c>
      <c r="D1305" s="8" t="s">
        <v>7679</v>
      </c>
      <c r="E1305" s="8" t="s">
        <v>7680</v>
      </c>
      <c r="F1305" s="8" t="s">
        <v>7681</v>
      </c>
      <c r="G1305" s="6" t="s">
        <v>38</v>
      </c>
      <c r="H1305" s="6" t="s">
        <v>39</v>
      </c>
      <c r="I1305" s="8" t="s">
        <v>40</v>
      </c>
      <c r="J1305" s="9">
        <v>1</v>
      </c>
      <c r="K1305" s="9">
        <v>183</v>
      </c>
      <c r="L1305" s="9">
        <v>2025</v>
      </c>
      <c r="M1305" s="8" t="s">
        <v>7682</v>
      </c>
      <c r="N1305" s="8" t="s">
        <v>42</v>
      </c>
      <c r="O1305" s="8" t="s">
        <v>101</v>
      </c>
      <c r="P1305" s="6" t="s">
        <v>44</v>
      </c>
      <c r="Q1305" s="8" t="s">
        <v>45</v>
      </c>
      <c r="R1305" s="10" t="s">
        <v>632</v>
      </c>
      <c r="S1305" s="11"/>
      <c r="T1305" s="6"/>
      <c r="U1305" s="24" t="str">
        <f>HYPERLINK("https://media.infra-m.ru/2181/2181459/cover/2181459.jpg", "Обложка")</f>
        <v>Обложка</v>
      </c>
      <c r="V1305" s="24" t="str">
        <f>HYPERLINK("https://znanium.ru/catalog/product/2181459", "Ознакомиться")</f>
        <v>Ознакомиться</v>
      </c>
      <c r="W1305" s="8" t="s">
        <v>3675</v>
      </c>
      <c r="X1305" s="6" t="s">
        <v>320</v>
      </c>
      <c r="Y1305" s="6"/>
      <c r="Z1305" s="6"/>
      <c r="AA1305" s="6" t="s">
        <v>159</v>
      </c>
      <c r="AB1305" s="8"/>
    </row>
    <row r="1306" spans="1:28" s="4" customFormat="1" ht="42" customHeight="1">
      <c r="A1306" s="5">
        <v>0</v>
      </c>
      <c r="B1306" s="6" t="s">
        <v>7683</v>
      </c>
      <c r="C1306" s="7">
        <v>1740</v>
      </c>
      <c r="D1306" s="8" t="s">
        <v>7684</v>
      </c>
      <c r="E1306" s="8" t="s">
        <v>7685</v>
      </c>
      <c r="F1306" s="8" t="s">
        <v>7686</v>
      </c>
      <c r="G1306" s="6" t="s">
        <v>132</v>
      </c>
      <c r="H1306" s="6" t="s">
        <v>39</v>
      </c>
      <c r="I1306" s="8" t="s">
        <v>40</v>
      </c>
      <c r="J1306" s="9">
        <v>1</v>
      </c>
      <c r="K1306" s="9">
        <v>302</v>
      </c>
      <c r="L1306" s="9">
        <v>2024</v>
      </c>
      <c r="M1306" s="8" t="s">
        <v>7687</v>
      </c>
      <c r="N1306" s="8" t="s">
        <v>42</v>
      </c>
      <c r="O1306" s="8" t="s">
        <v>101</v>
      </c>
      <c r="P1306" s="6" t="s">
        <v>44</v>
      </c>
      <c r="Q1306" s="8" t="s">
        <v>45</v>
      </c>
      <c r="R1306" s="10" t="s">
        <v>7688</v>
      </c>
      <c r="S1306" s="11"/>
      <c r="T1306" s="6"/>
      <c r="U1306" s="24" t="str">
        <f>HYPERLINK("https://media.infra-m.ru/2001/2001726/cover/2001726.jpg", "Обложка")</f>
        <v>Обложка</v>
      </c>
      <c r="V1306" s="24" t="str">
        <f>HYPERLINK("https://znanium.ru/catalog/product/2001726", "Ознакомиться")</f>
        <v>Ознакомиться</v>
      </c>
      <c r="W1306" s="8" t="s">
        <v>565</v>
      </c>
      <c r="X1306" s="6"/>
      <c r="Y1306" s="6"/>
      <c r="Z1306" s="6"/>
      <c r="AA1306" s="6" t="s">
        <v>58</v>
      </c>
      <c r="AB1306" s="8"/>
    </row>
    <row r="1307" spans="1:28" s="4" customFormat="1" ht="44.1" customHeight="1">
      <c r="A1307" s="5">
        <v>0</v>
      </c>
      <c r="B1307" s="6" t="s">
        <v>7689</v>
      </c>
      <c r="C1307" s="7">
        <v>1668</v>
      </c>
      <c r="D1307" s="8" t="s">
        <v>7690</v>
      </c>
      <c r="E1307" s="8" t="s">
        <v>7691</v>
      </c>
      <c r="F1307" s="8" t="s">
        <v>7692</v>
      </c>
      <c r="G1307" s="6" t="s">
        <v>81</v>
      </c>
      <c r="H1307" s="6" t="s">
        <v>39</v>
      </c>
      <c r="I1307" s="8" t="s">
        <v>344</v>
      </c>
      <c r="J1307" s="9">
        <v>1</v>
      </c>
      <c r="K1307" s="9">
        <v>282</v>
      </c>
      <c r="L1307" s="9">
        <v>2023</v>
      </c>
      <c r="M1307" s="8" t="s">
        <v>7693</v>
      </c>
      <c r="N1307" s="8" t="s">
        <v>284</v>
      </c>
      <c r="O1307" s="8" t="s">
        <v>2265</v>
      </c>
      <c r="P1307" s="6" t="s">
        <v>44</v>
      </c>
      <c r="Q1307" s="8" t="s">
        <v>45</v>
      </c>
      <c r="R1307" s="10" t="s">
        <v>7694</v>
      </c>
      <c r="S1307" s="11"/>
      <c r="T1307" s="6"/>
      <c r="U1307" s="24" t="str">
        <f>HYPERLINK("https://media.infra-m.ru/1908/1908345/cover/1908345.jpg", "Обложка")</f>
        <v>Обложка</v>
      </c>
      <c r="V1307" s="12"/>
      <c r="W1307" s="8" t="s">
        <v>346</v>
      </c>
      <c r="X1307" s="6"/>
      <c r="Y1307" s="6"/>
      <c r="Z1307" s="6"/>
      <c r="AA1307" s="6" t="s">
        <v>68</v>
      </c>
      <c r="AB1307" s="8"/>
    </row>
    <row r="1308" spans="1:28" s="4" customFormat="1" ht="42" customHeight="1">
      <c r="A1308" s="5">
        <v>0</v>
      </c>
      <c r="B1308" s="6" t="s">
        <v>7695</v>
      </c>
      <c r="C1308" s="7">
        <v>1956</v>
      </c>
      <c r="D1308" s="8" t="s">
        <v>7696</v>
      </c>
      <c r="E1308" s="8" t="s">
        <v>7697</v>
      </c>
      <c r="F1308" s="8" t="s">
        <v>7698</v>
      </c>
      <c r="G1308" s="6" t="s">
        <v>38</v>
      </c>
      <c r="H1308" s="6" t="s">
        <v>39</v>
      </c>
      <c r="I1308" s="8" t="s">
        <v>40</v>
      </c>
      <c r="J1308" s="9">
        <v>1</v>
      </c>
      <c r="K1308" s="9">
        <v>313</v>
      </c>
      <c r="L1308" s="9">
        <v>2026</v>
      </c>
      <c r="M1308" s="8" t="s">
        <v>7699</v>
      </c>
      <c r="N1308" s="8" t="s">
        <v>284</v>
      </c>
      <c r="O1308" s="8" t="s">
        <v>717</v>
      </c>
      <c r="P1308" s="6" t="s">
        <v>44</v>
      </c>
      <c r="Q1308" s="8" t="s">
        <v>45</v>
      </c>
      <c r="R1308" s="10" t="s">
        <v>7700</v>
      </c>
      <c r="S1308" s="11"/>
      <c r="T1308" s="6"/>
      <c r="U1308" s="24" t="str">
        <f>HYPERLINK("https://media.infra-m.ru/2139/2139296/cover/2139296.jpg", "Обложка")</f>
        <v>Обложка</v>
      </c>
      <c r="V1308" s="24" t="str">
        <f>HYPERLINK("https://znanium.ru/catalog/product/2139296", "Ознакомиться")</f>
        <v>Ознакомиться</v>
      </c>
      <c r="W1308" s="8" t="s">
        <v>2724</v>
      </c>
      <c r="X1308" s="6"/>
      <c r="Y1308" s="6"/>
      <c r="Z1308" s="6"/>
      <c r="AA1308" s="6" t="s">
        <v>168</v>
      </c>
      <c r="AB1308" s="8"/>
    </row>
    <row r="1309" spans="1:28" s="4" customFormat="1" ht="42" customHeight="1">
      <c r="A1309" s="5">
        <v>0</v>
      </c>
      <c r="B1309" s="6" t="s">
        <v>7701</v>
      </c>
      <c r="C1309" s="13">
        <v>780</v>
      </c>
      <c r="D1309" s="8" t="s">
        <v>7702</v>
      </c>
      <c r="E1309" s="8" t="s">
        <v>7703</v>
      </c>
      <c r="F1309" s="8" t="s">
        <v>7704</v>
      </c>
      <c r="G1309" s="6" t="s">
        <v>38</v>
      </c>
      <c r="H1309" s="6" t="s">
        <v>39</v>
      </c>
      <c r="I1309" s="8" t="s">
        <v>40</v>
      </c>
      <c r="J1309" s="9">
        <v>1</v>
      </c>
      <c r="K1309" s="9">
        <v>129</v>
      </c>
      <c r="L1309" s="9">
        <v>2025</v>
      </c>
      <c r="M1309" s="8" t="s">
        <v>7705</v>
      </c>
      <c r="N1309" s="8" t="s">
        <v>54</v>
      </c>
      <c r="O1309" s="8" t="s">
        <v>55</v>
      </c>
      <c r="P1309" s="6" t="s">
        <v>44</v>
      </c>
      <c r="Q1309" s="8" t="s">
        <v>45</v>
      </c>
      <c r="R1309" s="10" t="s">
        <v>74</v>
      </c>
      <c r="S1309" s="11"/>
      <c r="T1309" s="6"/>
      <c r="U1309" s="24" t="str">
        <f>HYPERLINK("https://media.infra-m.ru/1870/1870761/cover/1870761.jpg", "Обложка")</f>
        <v>Обложка</v>
      </c>
      <c r="V1309" s="24" t="str">
        <f>HYPERLINK("https://znanium.ru/catalog/product/1870761", "Ознакомиться")</f>
        <v>Ознакомиться</v>
      </c>
      <c r="W1309" s="8" t="s">
        <v>7706</v>
      </c>
      <c r="X1309" s="6"/>
      <c r="Y1309" s="6"/>
      <c r="Z1309" s="6"/>
      <c r="AA1309" s="6" t="s">
        <v>68</v>
      </c>
      <c r="AB1309" s="8"/>
    </row>
    <row r="1310" spans="1:28" s="4" customFormat="1" ht="44.1" customHeight="1">
      <c r="A1310" s="5">
        <v>0</v>
      </c>
      <c r="B1310" s="6" t="s">
        <v>7707</v>
      </c>
      <c r="C1310" s="7">
        <v>1420.8</v>
      </c>
      <c r="D1310" s="8" t="s">
        <v>7708</v>
      </c>
      <c r="E1310" s="8" t="s">
        <v>7709</v>
      </c>
      <c r="F1310" s="8" t="s">
        <v>7710</v>
      </c>
      <c r="G1310" s="6" t="s">
        <v>38</v>
      </c>
      <c r="H1310" s="6" t="s">
        <v>39</v>
      </c>
      <c r="I1310" s="8" t="s">
        <v>40</v>
      </c>
      <c r="J1310" s="9">
        <v>1</v>
      </c>
      <c r="K1310" s="9">
        <v>227</v>
      </c>
      <c r="L1310" s="9">
        <v>2026</v>
      </c>
      <c r="M1310" s="8" t="s">
        <v>7711</v>
      </c>
      <c r="N1310" s="8" t="s">
        <v>42</v>
      </c>
      <c r="O1310" s="8" t="s">
        <v>1035</v>
      </c>
      <c r="P1310" s="6" t="s">
        <v>44</v>
      </c>
      <c r="Q1310" s="8" t="s">
        <v>45</v>
      </c>
      <c r="R1310" s="10" t="s">
        <v>7712</v>
      </c>
      <c r="S1310" s="11"/>
      <c r="T1310" s="6" t="s">
        <v>1080</v>
      </c>
      <c r="U1310" s="24" t="str">
        <f>HYPERLINK("https://media.infra-m.ru/2217/2217383/cover/2217383.jpg", "Обложка")</f>
        <v>Обложка</v>
      </c>
      <c r="V1310" s="24" t="str">
        <f>HYPERLINK("https://znanium.ru/catalog/product/1933133", "Ознакомиться")</f>
        <v>Ознакомиться</v>
      </c>
      <c r="W1310" s="8" t="s">
        <v>7713</v>
      </c>
      <c r="X1310" s="6"/>
      <c r="Y1310" s="6"/>
      <c r="Z1310" s="6"/>
      <c r="AA1310" s="6" t="s">
        <v>168</v>
      </c>
      <c r="AB1310" s="8"/>
    </row>
    <row r="1311" spans="1:28" s="4" customFormat="1" ht="51.95" customHeight="1">
      <c r="A1311" s="5">
        <v>0</v>
      </c>
      <c r="B1311" s="6" t="s">
        <v>7714</v>
      </c>
      <c r="C1311" s="7">
        <v>1944</v>
      </c>
      <c r="D1311" s="8" t="s">
        <v>7715</v>
      </c>
      <c r="E1311" s="8" t="s">
        <v>7716</v>
      </c>
      <c r="F1311" s="8" t="s">
        <v>1598</v>
      </c>
      <c r="G1311" s="6" t="s">
        <v>132</v>
      </c>
      <c r="H1311" s="6" t="s">
        <v>39</v>
      </c>
      <c r="I1311" s="8" t="s">
        <v>40</v>
      </c>
      <c r="J1311" s="9">
        <v>1</v>
      </c>
      <c r="K1311" s="9">
        <v>349</v>
      </c>
      <c r="L1311" s="9">
        <v>2024</v>
      </c>
      <c r="M1311" s="8" t="s">
        <v>7717</v>
      </c>
      <c r="N1311" s="8" t="s">
        <v>42</v>
      </c>
      <c r="O1311" s="8" t="s">
        <v>65</v>
      </c>
      <c r="P1311" s="6" t="s">
        <v>44</v>
      </c>
      <c r="Q1311" s="8" t="s">
        <v>45</v>
      </c>
      <c r="R1311" s="10" t="s">
        <v>7718</v>
      </c>
      <c r="S1311" s="11"/>
      <c r="T1311" s="6"/>
      <c r="U1311" s="24" t="str">
        <f>HYPERLINK("https://media.infra-m.ru/2076/2076787/cover/2076787.jpg", "Обложка")</f>
        <v>Обложка</v>
      </c>
      <c r="V1311" s="24" t="str">
        <f>HYPERLINK("https://znanium.ru/catalog/product/2076787", "Ознакомиться")</f>
        <v>Ознакомиться</v>
      </c>
      <c r="W1311" s="8" t="s">
        <v>1601</v>
      </c>
      <c r="X1311" s="6"/>
      <c r="Y1311" s="6"/>
      <c r="Z1311" s="6"/>
      <c r="AA1311" s="6" t="s">
        <v>58</v>
      </c>
      <c r="AB1311" s="8"/>
    </row>
    <row r="1312" spans="1:28" s="4" customFormat="1" ht="42" customHeight="1">
      <c r="A1312" s="5">
        <v>0</v>
      </c>
      <c r="B1312" s="6" t="s">
        <v>7719</v>
      </c>
      <c r="C1312" s="7">
        <v>1552.8</v>
      </c>
      <c r="D1312" s="8" t="s">
        <v>7720</v>
      </c>
      <c r="E1312" s="8" t="s">
        <v>7721</v>
      </c>
      <c r="F1312" s="8" t="s">
        <v>7722</v>
      </c>
      <c r="G1312" s="6" t="s">
        <v>38</v>
      </c>
      <c r="H1312" s="6" t="s">
        <v>39</v>
      </c>
      <c r="I1312" s="8" t="s">
        <v>40</v>
      </c>
      <c r="J1312" s="9">
        <v>1</v>
      </c>
      <c r="K1312" s="9">
        <v>274</v>
      </c>
      <c r="L1312" s="9">
        <v>2024</v>
      </c>
      <c r="M1312" s="8" t="s">
        <v>7723</v>
      </c>
      <c r="N1312" s="8" t="s">
        <v>54</v>
      </c>
      <c r="O1312" s="8" t="s">
        <v>55</v>
      </c>
      <c r="P1312" s="6" t="s">
        <v>44</v>
      </c>
      <c r="Q1312" s="8" t="s">
        <v>45</v>
      </c>
      <c r="R1312" s="10" t="s">
        <v>7724</v>
      </c>
      <c r="S1312" s="11"/>
      <c r="T1312" s="6"/>
      <c r="U1312" s="24" t="str">
        <f>HYPERLINK("https://media.infra-m.ru/2156/2156223/cover/2156223.jpg", "Обложка")</f>
        <v>Обложка</v>
      </c>
      <c r="V1312" s="24" t="str">
        <f>HYPERLINK("https://znanium.ru/catalog/product/1869553", "Ознакомиться")</f>
        <v>Ознакомиться</v>
      </c>
      <c r="W1312" s="8" t="s">
        <v>7725</v>
      </c>
      <c r="X1312" s="6"/>
      <c r="Y1312" s="6"/>
      <c r="Z1312" s="6"/>
      <c r="AA1312" s="6" t="s">
        <v>111</v>
      </c>
      <c r="AB1312" s="8" t="s">
        <v>917</v>
      </c>
    </row>
    <row r="1313" spans="1:28" s="4" customFormat="1" ht="42" customHeight="1">
      <c r="A1313" s="5">
        <v>0</v>
      </c>
      <c r="B1313" s="6" t="s">
        <v>7726</v>
      </c>
      <c r="C1313" s="7">
        <v>1924.8</v>
      </c>
      <c r="D1313" s="8" t="s">
        <v>7727</v>
      </c>
      <c r="E1313" s="8" t="s">
        <v>7728</v>
      </c>
      <c r="F1313" s="8" t="s">
        <v>7729</v>
      </c>
      <c r="G1313" s="6" t="s">
        <v>132</v>
      </c>
      <c r="H1313" s="6" t="s">
        <v>99</v>
      </c>
      <c r="I1313" s="8"/>
      <c r="J1313" s="9">
        <v>1</v>
      </c>
      <c r="K1313" s="9">
        <v>320</v>
      </c>
      <c r="L1313" s="9">
        <v>2025</v>
      </c>
      <c r="M1313" s="8" t="s">
        <v>7730</v>
      </c>
      <c r="N1313" s="8" t="s">
        <v>42</v>
      </c>
      <c r="O1313" s="8" t="s">
        <v>101</v>
      </c>
      <c r="P1313" s="6" t="s">
        <v>44</v>
      </c>
      <c r="Q1313" s="8" t="s">
        <v>45</v>
      </c>
      <c r="R1313" s="10" t="s">
        <v>874</v>
      </c>
      <c r="S1313" s="11"/>
      <c r="T1313" s="6"/>
      <c r="U1313" s="24" t="str">
        <f>HYPERLINK("https://media.infra-m.ru/2163/2163850/cover/2163850.jpg", "Обложка")</f>
        <v>Обложка</v>
      </c>
      <c r="V1313" s="24" t="str">
        <f>HYPERLINK("https://znanium.ru/catalog/product/1240961", "Ознакомиться")</f>
        <v>Ознакомиться</v>
      </c>
      <c r="W1313" s="8" t="s">
        <v>262</v>
      </c>
      <c r="X1313" s="6"/>
      <c r="Y1313" s="6"/>
      <c r="Z1313" s="6"/>
      <c r="AA1313" s="6" t="s">
        <v>127</v>
      </c>
      <c r="AB1313" s="8"/>
    </row>
    <row r="1314" spans="1:28" s="4" customFormat="1" ht="42" customHeight="1">
      <c r="A1314" s="5">
        <v>0</v>
      </c>
      <c r="B1314" s="6" t="s">
        <v>7731</v>
      </c>
      <c r="C1314" s="13">
        <v>912</v>
      </c>
      <c r="D1314" s="8" t="s">
        <v>7732</v>
      </c>
      <c r="E1314" s="8" t="s">
        <v>7733</v>
      </c>
      <c r="F1314" s="8" t="s">
        <v>7734</v>
      </c>
      <c r="G1314" s="6" t="s">
        <v>38</v>
      </c>
      <c r="H1314" s="6" t="s">
        <v>39</v>
      </c>
      <c r="I1314" s="8" t="s">
        <v>40</v>
      </c>
      <c r="J1314" s="9">
        <v>1</v>
      </c>
      <c r="K1314" s="9">
        <v>141</v>
      </c>
      <c r="L1314" s="9">
        <v>2024</v>
      </c>
      <c r="M1314" s="8" t="s">
        <v>7735</v>
      </c>
      <c r="N1314" s="8" t="s">
        <v>54</v>
      </c>
      <c r="O1314" s="8" t="s">
        <v>91</v>
      </c>
      <c r="P1314" s="6" t="s">
        <v>44</v>
      </c>
      <c r="Q1314" s="8" t="s">
        <v>45</v>
      </c>
      <c r="R1314" s="10" t="s">
        <v>1677</v>
      </c>
      <c r="S1314" s="11"/>
      <c r="T1314" s="6"/>
      <c r="U1314" s="24" t="str">
        <f>HYPERLINK("https://media.infra-m.ru/2116/2116160/cover/2116160.jpg", "Обложка")</f>
        <v>Обложка</v>
      </c>
      <c r="V1314" s="24" t="str">
        <f>HYPERLINK("https://znanium.ru/catalog/product/2116160", "Ознакомиться")</f>
        <v>Ознакомиться</v>
      </c>
      <c r="W1314" s="8" t="s">
        <v>7725</v>
      </c>
      <c r="X1314" s="6"/>
      <c r="Y1314" s="6"/>
      <c r="Z1314" s="6"/>
      <c r="AA1314" s="6" t="s">
        <v>58</v>
      </c>
      <c r="AB1314" s="8"/>
    </row>
    <row r="1315" spans="1:28" s="4" customFormat="1" ht="51.95" customHeight="1">
      <c r="A1315" s="5">
        <v>0</v>
      </c>
      <c r="B1315" s="6" t="s">
        <v>7736</v>
      </c>
      <c r="C1315" s="7">
        <v>1092</v>
      </c>
      <c r="D1315" s="8" t="s">
        <v>7737</v>
      </c>
      <c r="E1315" s="8" t="s">
        <v>7738</v>
      </c>
      <c r="F1315" s="8" t="s">
        <v>7739</v>
      </c>
      <c r="G1315" s="6" t="s">
        <v>81</v>
      </c>
      <c r="H1315" s="6" t="s">
        <v>99</v>
      </c>
      <c r="I1315" s="8"/>
      <c r="J1315" s="9">
        <v>1</v>
      </c>
      <c r="K1315" s="9">
        <v>176</v>
      </c>
      <c r="L1315" s="9">
        <v>2025</v>
      </c>
      <c r="M1315" s="8" t="s">
        <v>7740</v>
      </c>
      <c r="N1315" s="8" t="s">
        <v>42</v>
      </c>
      <c r="O1315" s="8" t="s">
        <v>101</v>
      </c>
      <c r="P1315" s="6" t="s">
        <v>44</v>
      </c>
      <c r="Q1315" s="8" t="s">
        <v>45</v>
      </c>
      <c r="R1315" s="10" t="s">
        <v>7741</v>
      </c>
      <c r="S1315" s="11"/>
      <c r="T1315" s="6"/>
      <c r="U1315" s="24" t="str">
        <f>HYPERLINK("https://media.infra-m.ru/2170/2170039/cover/2170039.jpg", "Обложка")</f>
        <v>Обложка</v>
      </c>
      <c r="V1315" s="24" t="str">
        <f>HYPERLINK("https://znanium.ru/catalog/product/2170039", "Ознакомиться")</f>
        <v>Ознакомиться</v>
      </c>
      <c r="W1315" s="8" t="s">
        <v>565</v>
      </c>
      <c r="X1315" s="6"/>
      <c r="Y1315" s="6"/>
      <c r="Z1315" s="6"/>
      <c r="AA1315" s="6" t="s">
        <v>377</v>
      </c>
      <c r="AB1315" s="8"/>
    </row>
    <row r="1316" spans="1:28" s="4" customFormat="1" ht="51.95" customHeight="1">
      <c r="A1316" s="5">
        <v>0</v>
      </c>
      <c r="B1316" s="6" t="s">
        <v>7742</v>
      </c>
      <c r="C1316" s="13">
        <v>936</v>
      </c>
      <c r="D1316" s="8" t="s">
        <v>7743</v>
      </c>
      <c r="E1316" s="8" t="s">
        <v>7744</v>
      </c>
      <c r="F1316" s="8" t="s">
        <v>578</v>
      </c>
      <c r="G1316" s="6" t="s">
        <v>132</v>
      </c>
      <c r="H1316" s="6" t="s">
        <v>99</v>
      </c>
      <c r="I1316" s="8"/>
      <c r="J1316" s="9">
        <v>1</v>
      </c>
      <c r="K1316" s="9">
        <v>144</v>
      </c>
      <c r="L1316" s="9">
        <v>2024</v>
      </c>
      <c r="M1316" s="8" t="s">
        <v>7745</v>
      </c>
      <c r="N1316" s="8" t="s">
        <v>42</v>
      </c>
      <c r="O1316" s="8" t="s">
        <v>101</v>
      </c>
      <c r="P1316" s="6" t="s">
        <v>44</v>
      </c>
      <c r="Q1316" s="8"/>
      <c r="R1316" s="10" t="s">
        <v>7746</v>
      </c>
      <c r="S1316" s="11"/>
      <c r="T1316" s="6"/>
      <c r="U1316" s="24" t="str">
        <f>HYPERLINK("https://media.infra-m.ru/2157/2157341/cover/2157341.jpg", "Обложка")</f>
        <v>Обложка</v>
      </c>
      <c r="V1316" s="24" t="str">
        <f>HYPERLINK("https://znanium.ru/catalog/product/2157341", "Ознакомиться")</f>
        <v>Ознакомиться</v>
      </c>
      <c r="W1316" s="8"/>
      <c r="X1316" s="6"/>
      <c r="Y1316" s="6"/>
      <c r="Z1316" s="6"/>
      <c r="AA1316" s="6" t="s">
        <v>58</v>
      </c>
      <c r="AB1316" s="8"/>
    </row>
    <row r="1317" spans="1:28" s="4" customFormat="1" ht="42" customHeight="1">
      <c r="A1317" s="5">
        <v>0</v>
      </c>
      <c r="B1317" s="6" t="s">
        <v>7747</v>
      </c>
      <c r="C1317" s="7">
        <v>2376</v>
      </c>
      <c r="D1317" s="8" t="s">
        <v>7748</v>
      </c>
      <c r="E1317" s="8" t="s">
        <v>7749</v>
      </c>
      <c r="F1317" s="8" t="s">
        <v>7750</v>
      </c>
      <c r="G1317" s="6" t="s">
        <v>38</v>
      </c>
      <c r="H1317" s="6" t="s">
        <v>182</v>
      </c>
      <c r="I1317" s="8" t="s">
        <v>40</v>
      </c>
      <c r="J1317" s="9">
        <v>1</v>
      </c>
      <c r="K1317" s="9">
        <v>395</v>
      </c>
      <c r="L1317" s="9">
        <v>2025</v>
      </c>
      <c r="M1317" s="8" t="s">
        <v>7751</v>
      </c>
      <c r="N1317" s="8" t="s">
        <v>42</v>
      </c>
      <c r="O1317" s="8" t="s">
        <v>101</v>
      </c>
      <c r="P1317" s="6" t="s">
        <v>44</v>
      </c>
      <c r="Q1317" s="8" t="s">
        <v>45</v>
      </c>
      <c r="R1317" s="10" t="s">
        <v>874</v>
      </c>
      <c r="S1317" s="11"/>
      <c r="T1317" s="6"/>
      <c r="U1317" s="24" t="str">
        <f>HYPERLINK("https://media.infra-m.ru/1843/1843643/cover/1843643.jpg", "Обложка")</f>
        <v>Обложка</v>
      </c>
      <c r="V1317" s="24" t="str">
        <f>HYPERLINK("https://znanium.ru/catalog/product/1843643", "Ознакомиться")</f>
        <v>Ознакомиться</v>
      </c>
      <c r="W1317" s="8" t="s">
        <v>7752</v>
      </c>
      <c r="X1317" s="6" t="s">
        <v>1188</v>
      </c>
      <c r="Y1317" s="6"/>
      <c r="Z1317" s="6"/>
      <c r="AA1317" s="6" t="s">
        <v>419</v>
      </c>
      <c r="AB1317" s="8"/>
    </row>
    <row r="1318" spans="1:28" s="4" customFormat="1" ht="42" customHeight="1">
      <c r="A1318" s="5">
        <v>0</v>
      </c>
      <c r="B1318" s="6" t="s">
        <v>7753</v>
      </c>
      <c r="C1318" s="7">
        <v>2032.8</v>
      </c>
      <c r="D1318" s="8" t="s">
        <v>7754</v>
      </c>
      <c r="E1318" s="8" t="s">
        <v>7755</v>
      </c>
      <c r="F1318" s="8" t="s">
        <v>7756</v>
      </c>
      <c r="G1318" s="6" t="s">
        <v>26</v>
      </c>
      <c r="H1318" s="6" t="s">
        <v>182</v>
      </c>
      <c r="I1318" s="8" t="s">
        <v>40</v>
      </c>
      <c r="J1318" s="9">
        <v>1</v>
      </c>
      <c r="K1318" s="9">
        <v>342</v>
      </c>
      <c r="L1318" s="9">
        <v>2020</v>
      </c>
      <c r="M1318" s="8" t="s">
        <v>7757</v>
      </c>
      <c r="N1318" s="8" t="s">
        <v>42</v>
      </c>
      <c r="O1318" s="8" t="s">
        <v>101</v>
      </c>
      <c r="P1318" s="6" t="s">
        <v>44</v>
      </c>
      <c r="Q1318" s="8" t="s">
        <v>45</v>
      </c>
      <c r="R1318" s="10" t="s">
        <v>874</v>
      </c>
      <c r="S1318" s="11"/>
      <c r="T1318" s="6"/>
      <c r="U1318" s="24" t="str">
        <f>HYPERLINK("https://media.infra-m.ru/2185/2185420/cover/2185420.jpg", "Обложка")</f>
        <v>Обложка</v>
      </c>
      <c r="V1318" s="24" t="str">
        <f>HYPERLINK("https://znanium.ru/catalog/product/1843643", "Ознакомиться")</f>
        <v>Ознакомиться</v>
      </c>
      <c r="W1318" s="8" t="s">
        <v>7752</v>
      </c>
      <c r="X1318" s="6"/>
      <c r="Y1318" s="6"/>
      <c r="Z1318" s="6"/>
      <c r="AA1318" s="6" t="s">
        <v>1530</v>
      </c>
      <c r="AB1318" s="8"/>
    </row>
    <row r="1319" spans="1:28" s="4" customFormat="1" ht="51.95" customHeight="1">
      <c r="A1319" s="5">
        <v>0</v>
      </c>
      <c r="B1319" s="6" t="s">
        <v>7758</v>
      </c>
      <c r="C1319" s="7">
        <v>2454</v>
      </c>
      <c r="D1319" s="8" t="s">
        <v>7759</v>
      </c>
      <c r="E1319" s="8" t="s">
        <v>7760</v>
      </c>
      <c r="F1319" s="8" t="s">
        <v>4424</v>
      </c>
      <c r="G1319" s="6" t="s">
        <v>132</v>
      </c>
      <c r="H1319" s="6" t="s">
        <v>39</v>
      </c>
      <c r="I1319" s="8"/>
      <c r="J1319" s="9">
        <v>1</v>
      </c>
      <c r="K1319" s="9">
        <v>630</v>
      </c>
      <c r="L1319" s="9">
        <v>2024</v>
      </c>
      <c r="M1319" s="8" t="s">
        <v>7761</v>
      </c>
      <c r="N1319" s="8" t="s">
        <v>42</v>
      </c>
      <c r="O1319" s="8" t="s">
        <v>101</v>
      </c>
      <c r="P1319" s="6" t="s">
        <v>580</v>
      </c>
      <c r="Q1319" s="8" t="s">
        <v>45</v>
      </c>
      <c r="R1319" s="10" t="s">
        <v>2542</v>
      </c>
      <c r="S1319" s="11"/>
      <c r="T1319" s="6"/>
      <c r="U1319" s="24" t="str">
        <f>HYPERLINK("https://media.infra-m.ru/2095/2095602/cover/2095602.jpg", "Обложка")</f>
        <v>Обложка</v>
      </c>
      <c r="V1319" s="12"/>
      <c r="W1319" s="8" t="s">
        <v>3188</v>
      </c>
      <c r="X1319" s="6"/>
      <c r="Y1319" s="6"/>
      <c r="Z1319" s="6"/>
      <c r="AA1319" s="6" t="s">
        <v>199</v>
      </c>
      <c r="AB1319" s="8"/>
    </row>
    <row r="1320" spans="1:28" s="4" customFormat="1" ht="51.95" customHeight="1">
      <c r="A1320" s="5">
        <v>0</v>
      </c>
      <c r="B1320" s="6" t="s">
        <v>7762</v>
      </c>
      <c r="C1320" s="7">
        <v>2220</v>
      </c>
      <c r="D1320" s="8" t="s">
        <v>7763</v>
      </c>
      <c r="E1320" s="8" t="s">
        <v>7764</v>
      </c>
      <c r="F1320" s="8" t="s">
        <v>4424</v>
      </c>
      <c r="G1320" s="6" t="s">
        <v>81</v>
      </c>
      <c r="H1320" s="6" t="s">
        <v>39</v>
      </c>
      <c r="I1320" s="8"/>
      <c r="J1320" s="9">
        <v>1</v>
      </c>
      <c r="K1320" s="9">
        <v>412</v>
      </c>
      <c r="L1320" s="9">
        <v>2023</v>
      </c>
      <c r="M1320" s="8" t="s">
        <v>7765</v>
      </c>
      <c r="N1320" s="8" t="s">
        <v>42</v>
      </c>
      <c r="O1320" s="8" t="s">
        <v>101</v>
      </c>
      <c r="P1320" s="6" t="s">
        <v>580</v>
      </c>
      <c r="Q1320" s="8" t="s">
        <v>45</v>
      </c>
      <c r="R1320" s="10" t="s">
        <v>7766</v>
      </c>
      <c r="S1320" s="11"/>
      <c r="T1320" s="6"/>
      <c r="U1320" s="24" t="str">
        <f>HYPERLINK("https://media.infra-m.ru/1915/1915815/cover/1915815.jpg", "Обложка")</f>
        <v>Обложка</v>
      </c>
      <c r="V1320" s="12"/>
      <c r="W1320" s="8" t="s">
        <v>3188</v>
      </c>
      <c r="X1320" s="6"/>
      <c r="Y1320" s="6"/>
      <c r="Z1320" s="6"/>
      <c r="AA1320" s="6" t="s">
        <v>111</v>
      </c>
      <c r="AB1320" s="8"/>
    </row>
    <row r="1321" spans="1:28" s="4" customFormat="1" ht="42" customHeight="1">
      <c r="A1321" s="5">
        <v>0</v>
      </c>
      <c r="B1321" s="6" t="s">
        <v>7767</v>
      </c>
      <c r="C1321" s="7">
        <v>2548.8000000000002</v>
      </c>
      <c r="D1321" s="8" t="s">
        <v>7768</v>
      </c>
      <c r="E1321" s="8" t="s">
        <v>7769</v>
      </c>
      <c r="F1321" s="8" t="s">
        <v>7770</v>
      </c>
      <c r="G1321" s="6" t="s">
        <v>132</v>
      </c>
      <c r="H1321" s="6" t="s">
        <v>99</v>
      </c>
      <c r="I1321" s="8"/>
      <c r="J1321" s="9">
        <v>1</v>
      </c>
      <c r="K1321" s="9">
        <v>400</v>
      </c>
      <c r="L1321" s="9">
        <v>2026</v>
      </c>
      <c r="M1321" s="8" t="s">
        <v>7771</v>
      </c>
      <c r="N1321" s="8" t="s">
        <v>42</v>
      </c>
      <c r="O1321" s="8" t="s">
        <v>101</v>
      </c>
      <c r="P1321" s="6" t="s">
        <v>44</v>
      </c>
      <c r="Q1321" s="8" t="s">
        <v>45</v>
      </c>
      <c r="R1321" s="10" t="s">
        <v>2946</v>
      </c>
      <c r="S1321" s="11"/>
      <c r="T1321" s="6"/>
      <c r="U1321" s="24" t="str">
        <f>HYPERLINK("https://media.infra-m.ru/2221/2221058/cover/2221058.jpg", "Обложка")</f>
        <v>Обложка</v>
      </c>
      <c r="V1321" s="24" t="str">
        <f>HYPERLINK("https://znanium.ru/catalog/product/1324017", "Ознакомиться")</f>
        <v>Ознакомиться</v>
      </c>
      <c r="W1321" s="8" t="s">
        <v>1349</v>
      </c>
      <c r="X1321" s="6"/>
      <c r="Y1321" s="6"/>
      <c r="Z1321" s="6"/>
      <c r="AA1321" s="6" t="s">
        <v>377</v>
      </c>
      <c r="AB1321" s="8"/>
    </row>
    <row r="1322" spans="1:28" s="4" customFormat="1" ht="51.95" customHeight="1">
      <c r="A1322" s="5">
        <v>0</v>
      </c>
      <c r="B1322" s="6" t="s">
        <v>7772</v>
      </c>
      <c r="C1322" s="7">
        <v>2584.8000000000002</v>
      </c>
      <c r="D1322" s="8" t="s">
        <v>7773</v>
      </c>
      <c r="E1322" s="8" t="s">
        <v>7774</v>
      </c>
      <c r="F1322" s="8" t="s">
        <v>7775</v>
      </c>
      <c r="G1322" s="6" t="s">
        <v>132</v>
      </c>
      <c r="H1322" s="6" t="s">
        <v>39</v>
      </c>
      <c r="I1322" s="8"/>
      <c r="J1322" s="9">
        <v>1</v>
      </c>
      <c r="K1322" s="9">
        <v>415</v>
      </c>
      <c r="L1322" s="9">
        <v>2025</v>
      </c>
      <c r="M1322" s="8" t="s">
        <v>7776</v>
      </c>
      <c r="N1322" s="8" t="s">
        <v>42</v>
      </c>
      <c r="O1322" s="8" t="s">
        <v>101</v>
      </c>
      <c r="P1322" s="6" t="s">
        <v>44</v>
      </c>
      <c r="Q1322" s="8" t="s">
        <v>45</v>
      </c>
      <c r="R1322" s="10" t="s">
        <v>680</v>
      </c>
      <c r="S1322" s="11"/>
      <c r="T1322" s="6"/>
      <c r="U1322" s="24" t="str">
        <f>HYPERLINK("https://media.infra-m.ru/2199/2199047/cover/2199047.jpg", "Обложка")</f>
        <v>Обложка</v>
      </c>
      <c r="V1322" s="24" t="str">
        <f>HYPERLINK("https://znanium.ru/catalog/product/2124750", "Ознакомиться")</f>
        <v>Ознакомиться</v>
      </c>
      <c r="W1322" s="8" t="s">
        <v>391</v>
      </c>
      <c r="X1322" s="6"/>
      <c r="Y1322" s="6"/>
      <c r="Z1322" s="6"/>
      <c r="AA1322" s="6" t="s">
        <v>536</v>
      </c>
      <c r="AB1322" s="8"/>
    </row>
    <row r="1323" spans="1:28" s="4" customFormat="1" ht="51.95" customHeight="1">
      <c r="A1323" s="5">
        <v>0</v>
      </c>
      <c r="B1323" s="6" t="s">
        <v>7777</v>
      </c>
      <c r="C1323" s="7">
        <v>1248</v>
      </c>
      <c r="D1323" s="8" t="s">
        <v>7778</v>
      </c>
      <c r="E1323" s="8" t="s">
        <v>7779</v>
      </c>
      <c r="F1323" s="8" t="s">
        <v>7780</v>
      </c>
      <c r="G1323" s="6" t="s">
        <v>38</v>
      </c>
      <c r="H1323" s="6" t="s">
        <v>39</v>
      </c>
      <c r="I1323" s="8" t="s">
        <v>164</v>
      </c>
      <c r="J1323" s="9">
        <v>1</v>
      </c>
      <c r="K1323" s="9">
        <v>296</v>
      </c>
      <c r="L1323" s="9">
        <v>2020</v>
      </c>
      <c r="M1323" s="8" t="s">
        <v>7781</v>
      </c>
      <c r="N1323" s="8" t="s">
        <v>220</v>
      </c>
      <c r="O1323" s="8" t="s">
        <v>252</v>
      </c>
      <c r="P1323" s="6" t="s">
        <v>44</v>
      </c>
      <c r="Q1323" s="8" t="s">
        <v>45</v>
      </c>
      <c r="R1323" s="10" t="s">
        <v>7782</v>
      </c>
      <c r="S1323" s="11"/>
      <c r="T1323" s="6"/>
      <c r="U1323" s="24" t="str">
        <f>HYPERLINK("https://media.infra-m.ru/1061/1061676/cover/1061676.jpg", "Обложка")</f>
        <v>Обложка</v>
      </c>
      <c r="V1323" s="24" t="str">
        <f>HYPERLINK("https://znanium.ru/catalog/product/1061676", "Ознакомиться")</f>
        <v>Ознакомиться</v>
      </c>
      <c r="W1323" s="8" t="s">
        <v>7159</v>
      </c>
      <c r="X1323" s="6"/>
      <c r="Y1323" s="6"/>
      <c r="Z1323" s="6"/>
      <c r="AA1323" s="6" t="s">
        <v>168</v>
      </c>
      <c r="AB1323" s="8"/>
    </row>
    <row r="1324" spans="1:28" s="4" customFormat="1" ht="42" customHeight="1">
      <c r="A1324" s="5">
        <v>0</v>
      </c>
      <c r="B1324" s="6" t="s">
        <v>7783</v>
      </c>
      <c r="C1324" s="7">
        <v>1152</v>
      </c>
      <c r="D1324" s="8" t="s">
        <v>7784</v>
      </c>
      <c r="E1324" s="8" t="s">
        <v>7785</v>
      </c>
      <c r="F1324" s="8" t="s">
        <v>7786</v>
      </c>
      <c r="G1324" s="6" t="s">
        <v>81</v>
      </c>
      <c r="H1324" s="6" t="s">
        <v>39</v>
      </c>
      <c r="I1324" s="8" t="s">
        <v>344</v>
      </c>
      <c r="J1324" s="9">
        <v>1</v>
      </c>
      <c r="K1324" s="9">
        <v>175</v>
      </c>
      <c r="L1324" s="9">
        <v>2026</v>
      </c>
      <c r="M1324" s="8" t="s">
        <v>7787</v>
      </c>
      <c r="N1324" s="8" t="s">
        <v>284</v>
      </c>
      <c r="O1324" s="8" t="s">
        <v>1549</v>
      </c>
      <c r="P1324" s="6" t="s">
        <v>44</v>
      </c>
      <c r="Q1324" s="8" t="s">
        <v>45</v>
      </c>
      <c r="R1324" s="10" t="s">
        <v>4211</v>
      </c>
      <c r="S1324" s="11"/>
      <c r="T1324" s="6"/>
      <c r="U1324" s="24" t="str">
        <f>HYPERLINK("https://media.infra-m.ru/2226/2226482/cover/2226482.jpg", "Обложка")</f>
        <v>Обложка</v>
      </c>
      <c r="V1324" s="12"/>
      <c r="W1324" s="8" t="s">
        <v>346</v>
      </c>
      <c r="X1324" s="6"/>
      <c r="Y1324" s="6"/>
      <c r="Z1324" s="6"/>
      <c r="AA1324" s="6" t="s">
        <v>68</v>
      </c>
      <c r="AB1324" s="8"/>
    </row>
    <row r="1325" spans="1:28" s="4" customFormat="1" ht="33" customHeight="1">
      <c r="A1325" s="5">
        <v>0</v>
      </c>
      <c r="B1325" s="6" t="s">
        <v>7788</v>
      </c>
      <c r="C1325" s="7">
        <v>1382.3</v>
      </c>
      <c r="D1325" s="8" t="s">
        <v>7789</v>
      </c>
      <c r="E1325" s="8" t="s">
        <v>7790</v>
      </c>
      <c r="F1325" s="8" t="s">
        <v>7791</v>
      </c>
      <c r="G1325" s="6" t="s">
        <v>132</v>
      </c>
      <c r="H1325" s="6" t="s">
        <v>99</v>
      </c>
      <c r="I1325" s="8"/>
      <c r="J1325" s="14">
        <v>0</v>
      </c>
      <c r="K1325" s="9">
        <v>704</v>
      </c>
      <c r="L1325" s="9">
        <v>2016</v>
      </c>
      <c r="M1325" s="8" t="s">
        <v>7792</v>
      </c>
      <c r="N1325" s="8" t="s">
        <v>42</v>
      </c>
      <c r="O1325" s="8" t="s">
        <v>101</v>
      </c>
      <c r="P1325" s="6" t="s">
        <v>2010</v>
      </c>
      <c r="Q1325" s="8" t="s">
        <v>45</v>
      </c>
      <c r="R1325" s="10"/>
      <c r="S1325" s="11"/>
      <c r="T1325" s="6"/>
      <c r="U1325" s="12"/>
      <c r="V1325" s="12"/>
      <c r="W1325" s="8" t="s">
        <v>7793</v>
      </c>
      <c r="X1325" s="6"/>
      <c r="Y1325" s="6"/>
      <c r="Z1325" s="6"/>
      <c r="AA1325" s="6" t="s">
        <v>339</v>
      </c>
      <c r="AB1325" s="8"/>
    </row>
    <row r="1326" spans="1:28" s="4" customFormat="1" ht="33" customHeight="1">
      <c r="A1326" s="5">
        <v>0</v>
      </c>
      <c r="B1326" s="6" t="s">
        <v>7794</v>
      </c>
      <c r="C1326" s="7">
        <v>1490.3</v>
      </c>
      <c r="D1326" s="8" t="s">
        <v>7795</v>
      </c>
      <c r="E1326" s="8" t="s">
        <v>7796</v>
      </c>
      <c r="F1326" s="8" t="s">
        <v>7797</v>
      </c>
      <c r="G1326" s="6" t="s">
        <v>132</v>
      </c>
      <c r="H1326" s="6" t="s">
        <v>99</v>
      </c>
      <c r="I1326" s="8"/>
      <c r="J1326" s="9">
        <v>6</v>
      </c>
      <c r="K1326" s="9">
        <v>720</v>
      </c>
      <c r="L1326" s="9">
        <v>2016</v>
      </c>
      <c r="M1326" s="8" t="s">
        <v>7798</v>
      </c>
      <c r="N1326" s="8" t="s">
        <v>42</v>
      </c>
      <c r="O1326" s="8" t="s">
        <v>101</v>
      </c>
      <c r="P1326" s="6" t="s">
        <v>2010</v>
      </c>
      <c r="Q1326" s="8" t="s">
        <v>45</v>
      </c>
      <c r="R1326" s="10"/>
      <c r="S1326" s="11"/>
      <c r="T1326" s="6"/>
      <c r="U1326" s="12"/>
      <c r="V1326" s="12"/>
      <c r="W1326" s="8" t="s">
        <v>418</v>
      </c>
      <c r="X1326" s="6"/>
      <c r="Y1326" s="6"/>
      <c r="Z1326" s="6"/>
      <c r="AA1326" s="6" t="s">
        <v>339</v>
      </c>
      <c r="AB1326" s="8"/>
    </row>
    <row r="1327" spans="1:28" s="4" customFormat="1" ht="33" customHeight="1">
      <c r="A1327" s="5">
        <v>0</v>
      </c>
      <c r="B1327" s="6" t="s">
        <v>7799</v>
      </c>
      <c r="C1327" s="7">
        <v>1526.3</v>
      </c>
      <c r="D1327" s="8" t="s">
        <v>7800</v>
      </c>
      <c r="E1327" s="8" t="s">
        <v>7801</v>
      </c>
      <c r="F1327" s="8" t="s">
        <v>7802</v>
      </c>
      <c r="G1327" s="6" t="s">
        <v>132</v>
      </c>
      <c r="H1327" s="6" t="s">
        <v>99</v>
      </c>
      <c r="I1327" s="8"/>
      <c r="J1327" s="9">
        <v>6</v>
      </c>
      <c r="K1327" s="9">
        <v>784</v>
      </c>
      <c r="L1327" s="9">
        <v>2016</v>
      </c>
      <c r="M1327" s="8" t="s">
        <v>7803</v>
      </c>
      <c r="N1327" s="8" t="s">
        <v>42</v>
      </c>
      <c r="O1327" s="8" t="s">
        <v>101</v>
      </c>
      <c r="P1327" s="6" t="s">
        <v>2010</v>
      </c>
      <c r="Q1327" s="8" t="s">
        <v>45</v>
      </c>
      <c r="R1327" s="10"/>
      <c r="S1327" s="11"/>
      <c r="T1327" s="6"/>
      <c r="U1327" s="12"/>
      <c r="V1327" s="12"/>
      <c r="W1327" s="8" t="s">
        <v>7793</v>
      </c>
      <c r="X1327" s="6"/>
      <c r="Y1327" s="6"/>
      <c r="Z1327" s="6"/>
      <c r="AA1327" s="6" t="s">
        <v>339</v>
      </c>
      <c r="AB1327" s="8"/>
    </row>
    <row r="1328" spans="1:28" s="4" customFormat="1" ht="42" customHeight="1">
      <c r="A1328" s="5">
        <v>0</v>
      </c>
      <c r="B1328" s="6" t="s">
        <v>7804</v>
      </c>
      <c r="C1328" s="7">
        <v>1440</v>
      </c>
      <c r="D1328" s="8" t="s">
        <v>7805</v>
      </c>
      <c r="E1328" s="8" t="s">
        <v>7806</v>
      </c>
      <c r="F1328" s="8" t="s">
        <v>7807</v>
      </c>
      <c r="G1328" s="6" t="s">
        <v>38</v>
      </c>
      <c r="H1328" s="6" t="s">
        <v>39</v>
      </c>
      <c r="I1328" s="8" t="s">
        <v>40</v>
      </c>
      <c r="J1328" s="9">
        <v>1</v>
      </c>
      <c r="K1328" s="9">
        <v>307</v>
      </c>
      <c r="L1328" s="9">
        <v>2022</v>
      </c>
      <c r="M1328" s="8" t="s">
        <v>7808</v>
      </c>
      <c r="N1328" s="8" t="s">
        <v>284</v>
      </c>
      <c r="O1328" s="8" t="s">
        <v>285</v>
      </c>
      <c r="P1328" s="6" t="s">
        <v>44</v>
      </c>
      <c r="Q1328" s="8" t="s">
        <v>45</v>
      </c>
      <c r="R1328" s="10" t="s">
        <v>1615</v>
      </c>
      <c r="S1328" s="11"/>
      <c r="T1328" s="6"/>
      <c r="U1328" s="24" t="str">
        <f>HYPERLINK("https://media.infra-m.ru/1141/1141767/cover/1141767.jpg", "Обложка")</f>
        <v>Обложка</v>
      </c>
      <c r="V1328" s="24" t="str">
        <f>HYPERLINK("https://znanium.ru/catalog/product/1141767", "Ознакомиться")</f>
        <v>Ознакомиться</v>
      </c>
      <c r="W1328" s="8" t="s">
        <v>3955</v>
      </c>
      <c r="X1328" s="6"/>
      <c r="Y1328" s="6"/>
      <c r="Z1328" s="6"/>
      <c r="AA1328" s="6" t="s">
        <v>111</v>
      </c>
      <c r="AB1328" s="8"/>
    </row>
    <row r="1329" spans="1:28" s="4" customFormat="1" ht="51.95" customHeight="1">
      <c r="A1329" s="5">
        <v>0</v>
      </c>
      <c r="B1329" s="6" t="s">
        <v>7809</v>
      </c>
      <c r="C1329" s="7">
        <v>1733.9</v>
      </c>
      <c r="D1329" s="8" t="s">
        <v>7810</v>
      </c>
      <c r="E1329" s="8" t="s">
        <v>7811</v>
      </c>
      <c r="F1329" s="8" t="s">
        <v>7812</v>
      </c>
      <c r="G1329" s="6" t="s">
        <v>38</v>
      </c>
      <c r="H1329" s="6" t="s">
        <v>182</v>
      </c>
      <c r="I1329" s="8" t="s">
        <v>40</v>
      </c>
      <c r="J1329" s="9">
        <v>1</v>
      </c>
      <c r="K1329" s="9">
        <v>337</v>
      </c>
      <c r="L1329" s="9">
        <v>2019</v>
      </c>
      <c r="M1329" s="8" t="s">
        <v>7813</v>
      </c>
      <c r="N1329" s="8" t="s">
        <v>42</v>
      </c>
      <c r="O1329" s="8" t="s">
        <v>246</v>
      </c>
      <c r="P1329" s="6" t="s">
        <v>44</v>
      </c>
      <c r="Q1329" s="8" t="s">
        <v>45</v>
      </c>
      <c r="R1329" s="10" t="s">
        <v>7814</v>
      </c>
      <c r="S1329" s="11"/>
      <c r="T1329" s="6"/>
      <c r="U1329" s="24" t="str">
        <f>HYPERLINK("https://media.infra-m.ru/1010/1010096/cover/1010096.jpg", "Обложка")</f>
        <v>Обложка</v>
      </c>
      <c r="V1329" s="24" t="str">
        <f>HYPERLINK("https://znanium.ru/catalog/product/1010096", "Ознакомиться")</f>
        <v>Ознакомиться</v>
      </c>
      <c r="W1329" s="8" t="s">
        <v>167</v>
      </c>
      <c r="X1329" s="6"/>
      <c r="Y1329" s="6"/>
      <c r="Z1329" s="6"/>
      <c r="AA1329" s="6" t="s">
        <v>127</v>
      </c>
      <c r="AB1329" s="8"/>
    </row>
    <row r="1330" spans="1:28" s="4" customFormat="1" ht="51.95" customHeight="1">
      <c r="A1330" s="5">
        <v>0</v>
      </c>
      <c r="B1330" s="6" t="s">
        <v>7815</v>
      </c>
      <c r="C1330" s="7">
        <v>1372.8</v>
      </c>
      <c r="D1330" s="8" t="s">
        <v>7816</v>
      </c>
      <c r="E1330" s="8" t="s">
        <v>7817</v>
      </c>
      <c r="F1330" s="8" t="s">
        <v>7818</v>
      </c>
      <c r="G1330" s="6" t="s">
        <v>38</v>
      </c>
      <c r="H1330" s="6" t="s">
        <v>39</v>
      </c>
      <c r="I1330" s="8" t="s">
        <v>40</v>
      </c>
      <c r="J1330" s="9">
        <v>1</v>
      </c>
      <c r="K1330" s="9">
        <v>253</v>
      </c>
      <c r="L1330" s="9">
        <v>2023</v>
      </c>
      <c r="M1330" s="8" t="s">
        <v>7819</v>
      </c>
      <c r="N1330" s="8" t="s">
        <v>42</v>
      </c>
      <c r="O1330" s="8" t="s">
        <v>246</v>
      </c>
      <c r="P1330" s="6" t="s">
        <v>44</v>
      </c>
      <c r="Q1330" s="8" t="s">
        <v>45</v>
      </c>
      <c r="R1330" s="10" t="s">
        <v>7820</v>
      </c>
      <c r="S1330" s="11"/>
      <c r="T1330" s="6"/>
      <c r="U1330" s="24" t="str">
        <f>HYPERLINK("https://media.infra-m.ru/2045/2045964/cover/2045964.jpg", "Обложка")</f>
        <v>Обложка</v>
      </c>
      <c r="V1330" s="24" t="str">
        <f>HYPERLINK("https://znanium.ru/catalog/product/1082948", "Ознакомиться")</f>
        <v>Ознакомиться</v>
      </c>
      <c r="W1330" s="8" t="s">
        <v>167</v>
      </c>
      <c r="X1330" s="6"/>
      <c r="Y1330" s="6"/>
      <c r="Z1330" s="6"/>
      <c r="AA1330" s="6" t="s">
        <v>199</v>
      </c>
      <c r="AB1330" s="8"/>
    </row>
    <row r="1331" spans="1:28" s="4" customFormat="1" ht="51.95" customHeight="1">
      <c r="A1331" s="5">
        <v>0</v>
      </c>
      <c r="B1331" s="6" t="s">
        <v>7821</v>
      </c>
      <c r="C1331" s="7">
        <v>1188</v>
      </c>
      <c r="D1331" s="8" t="s">
        <v>7822</v>
      </c>
      <c r="E1331" s="8" t="s">
        <v>7823</v>
      </c>
      <c r="F1331" s="8" t="s">
        <v>7824</v>
      </c>
      <c r="G1331" s="6" t="s">
        <v>81</v>
      </c>
      <c r="H1331" s="6" t="s">
        <v>39</v>
      </c>
      <c r="I1331" s="8"/>
      <c r="J1331" s="9">
        <v>1</v>
      </c>
      <c r="K1331" s="9">
        <v>284</v>
      </c>
      <c r="L1331" s="9">
        <v>2020</v>
      </c>
      <c r="M1331" s="8" t="s">
        <v>7825</v>
      </c>
      <c r="N1331" s="8" t="s">
        <v>42</v>
      </c>
      <c r="O1331" s="8" t="s">
        <v>246</v>
      </c>
      <c r="P1331" s="6" t="s">
        <v>44</v>
      </c>
      <c r="Q1331" s="8"/>
      <c r="R1331" s="10" t="s">
        <v>7826</v>
      </c>
      <c r="S1331" s="11"/>
      <c r="T1331" s="6"/>
      <c r="U1331" s="24" t="str">
        <f>HYPERLINK("https://media.infra-m.ru/1087/1087674/cover/1087674.jpg", "Обложка")</f>
        <v>Обложка</v>
      </c>
      <c r="V1331" s="24" t="str">
        <f>HYPERLINK("https://znanium.ru/catalog/product/1087664", "Ознакомиться")</f>
        <v>Ознакомиться</v>
      </c>
      <c r="W1331" s="8" t="s">
        <v>516</v>
      </c>
      <c r="X1331" s="6"/>
      <c r="Y1331" s="6"/>
      <c r="Z1331" s="6"/>
      <c r="AA1331" s="6" t="s">
        <v>168</v>
      </c>
      <c r="AB1331" s="8"/>
    </row>
    <row r="1332" spans="1:28" s="4" customFormat="1" ht="51.95" customHeight="1">
      <c r="A1332" s="5">
        <v>0</v>
      </c>
      <c r="B1332" s="6" t="s">
        <v>7827</v>
      </c>
      <c r="C1332" s="7">
        <v>2008.8</v>
      </c>
      <c r="D1332" s="8" t="s">
        <v>7828</v>
      </c>
      <c r="E1332" s="8" t="s">
        <v>7829</v>
      </c>
      <c r="F1332" s="8" t="s">
        <v>7830</v>
      </c>
      <c r="G1332" s="6" t="s">
        <v>38</v>
      </c>
      <c r="H1332" s="6" t="s">
        <v>39</v>
      </c>
      <c r="I1332" s="8" t="s">
        <v>40</v>
      </c>
      <c r="J1332" s="9">
        <v>5</v>
      </c>
      <c r="K1332" s="9">
        <v>321</v>
      </c>
      <c r="L1332" s="9">
        <v>2025</v>
      </c>
      <c r="M1332" s="8" t="s">
        <v>7831</v>
      </c>
      <c r="N1332" s="8" t="s">
        <v>284</v>
      </c>
      <c r="O1332" s="8" t="s">
        <v>285</v>
      </c>
      <c r="P1332" s="6" t="s">
        <v>44</v>
      </c>
      <c r="Q1332" s="8" t="s">
        <v>45</v>
      </c>
      <c r="R1332" s="10" t="s">
        <v>7832</v>
      </c>
      <c r="S1332" s="11"/>
      <c r="T1332" s="6" t="s">
        <v>1080</v>
      </c>
      <c r="U1332" s="24" t="str">
        <f>HYPERLINK("https://media.infra-m.ru/2197/2197594/cover/2197594.jpg", "Обложка")</f>
        <v>Обложка</v>
      </c>
      <c r="V1332" s="24" t="str">
        <f>HYPERLINK("https://znanium.ru/catalog/product/1938932", "Ознакомиться")</f>
        <v>Ознакомиться</v>
      </c>
      <c r="W1332" s="8" t="s">
        <v>7136</v>
      </c>
      <c r="X1332" s="6"/>
      <c r="Y1332" s="6"/>
      <c r="Z1332" s="6"/>
      <c r="AA1332" s="6" t="s">
        <v>377</v>
      </c>
      <c r="AB1332" s="8"/>
    </row>
    <row r="1333" spans="1:28" s="4" customFormat="1" ht="51.95" customHeight="1">
      <c r="A1333" s="5">
        <v>0</v>
      </c>
      <c r="B1333" s="6" t="s">
        <v>7833</v>
      </c>
      <c r="C1333" s="13">
        <v>732</v>
      </c>
      <c r="D1333" s="8" t="s">
        <v>7834</v>
      </c>
      <c r="E1333" s="8" t="s">
        <v>7835</v>
      </c>
      <c r="F1333" s="8" t="s">
        <v>7836</v>
      </c>
      <c r="G1333" s="6" t="s">
        <v>38</v>
      </c>
      <c r="H1333" s="6" t="s">
        <v>39</v>
      </c>
      <c r="I1333" s="8" t="s">
        <v>40</v>
      </c>
      <c r="J1333" s="9">
        <v>1</v>
      </c>
      <c r="K1333" s="9">
        <v>115</v>
      </c>
      <c r="L1333" s="9">
        <v>2025</v>
      </c>
      <c r="M1333" s="8" t="s">
        <v>7837</v>
      </c>
      <c r="N1333" s="8" t="s">
        <v>42</v>
      </c>
      <c r="O1333" s="8" t="s">
        <v>1002</v>
      </c>
      <c r="P1333" s="6" t="s">
        <v>44</v>
      </c>
      <c r="Q1333" s="8" t="s">
        <v>45</v>
      </c>
      <c r="R1333" s="10" t="s">
        <v>7838</v>
      </c>
      <c r="S1333" s="11"/>
      <c r="T1333" s="6"/>
      <c r="U1333" s="24" t="str">
        <f>HYPERLINK("https://media.infra-m.ru/2166/2166610/cover/2166610.jpg", "Обложка")</f>
        <v>Обложка</v>
      </c>
      <c r="V1333" s="24" t="str">
        <f>HYPERLINK("https://znanium.ru/catalog/product/2166610", "Ознакомиться")</f>
        <v>Ознакомиться</v>
      </c>
      <c r="W1333" s="8" t="s">
        <v>1362</v>
      </c>
      <c r="X1333" s="6"/>
      <c r="Y1333" s="6"/>
      <c r="Z1333" s="6"/>
      <c r="AA1333" s="6" t="s">
        <v>68</v>
      </c>
      <c r="AB1333" s="8"/>
    </row>
    <row r="1334" spans="1:28" s="4" customFormat="1" ht="51.95" customHeight="1">
      <c r="A1334" s="5">
        <v>0</v>
      </c>
      <c r="B1334" s="6" t="s">
        <v>7839</v>
      </c>
      <c r="C1334" s="7">
        <v>1596</v>
      </c>
      <c r="D1334" s="8" t="s">
        <v>7840</v>
      </c>
      <c r="E1334" s="8" t="s">
        <v>7841</v>
      </c>
      <c r="F1334" s="8" t="s">
        <v>7842</v>
      </c>
      <c r="G1334" s="6" t="s">
        <v>132</v>
      </c>
      <c r="H1334" s="6" t="s">
        <v>39</v>
      </c>
      <c r="I1334" s="8" t="s">
        <v>164</v>
      </c>
      <c r="J1334" s="9">
        <v>1</v>
      </c>
      <c r="K1334" s="9">
        <v>236</v>
      </c>
      <c r="L1334" s="9">
        <v>2025</v>
      </c>
      <c r="M1334" s="8" t="s">
        <v>7843</v>
      </c>
      <c r="N1334" s="8" t="s">
        <v>42</v>
      </c>
      <c r="O1334" s="8" t="s">
        <v>246</v>
      </c>
      <c r="P1334" s="6" t="s">
        <v>44</v>
      </c>
      <c r="Q1334" s="8" t="s">
        <v>45</v>
      </c>
      <c r="R1334" s="10" t="s">
        <v>7844</v>
      </c>
      <c r="S1334" s="11"/>
      <c r="T1334" s="6"/>
      <c r="U1334" s="24" t="str">
        <f>HYPERLINK("https://media.infra-m.ru/2212/2212227/cover/2212227.jpg", "Обложка")</f>
        <v>Обложка</v>
      </c>
      <c r="V1334" s="24" t="str">
        <f>HYPERLINK("https://znanium.ru/catalog/product/2212227", "Ознакомиться")</f>
        <v>Ознакомиться</v>
      </c>
      <c r="W1334" s="8" t="s">
        <v>7845</v>
      </c>
      <c r="X1334" s="6" t="s">
        <v>838</v>
      </c>
      <c r="Y1334" s="6"/>
      <c r="Z1334" s="6"/>
      <c r="AA1334" s="6" t="s">
        <v>159</v>
      </c>
      <c r="AB1334" s="8"/>
    </row>
    <row r="1335" spans="1:28" s="4" customFormat="1" ht="42" customHeight="1">
      <c r="A1335" s="5">
        <v>0</v>
      </c>
      <c r="B1335" s="6" t="s">
        <v>7846</v>
      </c>
      <c r="C1335" s="7">
        <v>1740</v>
      </c>
      <c r="D1335" s="8" t="s">
        <v>7847</v>
      </c>
      <c r="E1335" s="8" t="s">
        <v>7848</v>
      </c>
      <c r="F1335" s="8" t="s">
        <v>7849</v>
      </c>
      <c r="G1335" s="6" t="s">
        <v>132</v>
      </c>
      <c r="H1335" s="6" t="s">
        <v>39</v>
      </c>
      <c r="I1335" s="8" t="s">
        <v>40</v>
      </c>
      <c r="J1335" s="9">
        <v>1</v>
      </c>
      <c r="K1335" s="9">
        <v>244</v>
      </c>
      <c r="L1335" s="9">
        <v>2025</v>
      </c>
      <c r="M1335" s="8" t="s">
        <v>7850</v>
      </c>
      <c r="N1335" s="8" t="s">
        <v>284</v>
      </c>
      <c r="O1335" s="8" t="s">
        <v>2265</v>
      </c>
      <c r="P1335" s="6" t="s">
        <v>44</v>
      </c>
      <c r="Q1335" s="8" t="s">
        <v>45</v>
      </c>
      <c r="R1335" s="10" t="s">
        <v>7851</v>
      </c>
      <c r="S1335" s="11"/>
      <c r="T1335" s="6"/>
      <c r="U1335" s="24" t="str">
        <f>HYPERLINK("https://media.infra-m.ru/2180/2180374/cover/2180374.jpg", "Обложка")</f>
        <v>Обложка</v>
      </c>
      <c r="V1335" s="24" t="str">
        <f>HYPERLINK("https://znanium.ru/catalog/product/2180374", "Ознакомиться")</f>
        <v>Ознакомиться</v>
      </c>
      <c r="W1335" s="8" t="s">
        <v>2991</v>
      </c>
      <c r="X1335" s="6" t="s">
        <v>450</v>
      </c>
      <c r="Y1335" s="6"/>
      <c r="Z1335" s="6"/>
      <c r="AA1335" s="6" t="s">
        <v>159</v>
      </c>
      <c r="AB1335" s="8"/>
    </row>
    <row r="1336" spans="1:28" s="4" customFormat="1" ht="42" customHeight="1">
      <c r="A1336" s="5">
        <v>0</v>
      </c>
      <c r="B1336" s="6" t="s">
        <v>7852</v>
      </c>
      <c r="C1336" s="7">
        <v>1228.8</v>
      </c>
      <c r="D1336" s="8" t="s">
        <v>7853</v>
      </c>
      <c r="E1336" s="8" t="s">
        <v>7854</v>
      </c>
      <c r="F1336" s="8" t="s">
        <v>7855</v>
      </c>
      <c r="G1336" s="6" t="s">
        <v>38</v>
      </c>
      <c r="H1336" s="6" t="s">
        <v>39</v>
      </c>
      <c r="I1336" s="8" t="s">
        <v>40</v>
      </c>
      <c r="J1336" s="9">
        <v>1</v>
      </c>
      <c r="K1336" s="9">
        <v>186</v>
      </c>
      <c r="L1336" s="9">
        <v>2026</v>
      </c>
      <c r="M1336" s="8" t="s">
        <v>7856</v>
      </c>
      <c r="N1336" s="8" t="s">
        <v>42</v>
      </c>
      <c r="O1336" s="8" t="s">
        <v>189</v>
      </c>
      <c r="P1336" s="6" t="s">
        <v>44</v>
      </c>
      <c r="Q1336" s="8" t="s">
        <v>45</v>
      </c>
      <c r="R1336" s="10" t="s">
        <v>7857</v>
      </c>
      <c r="S1336" s="11"/>
      <c r="T1336" s="6"/>
      <c r="U1336" s="24" t="str">
        <f>HYPERLINK("https://media.infra-m.ru/2226/2226737/cover/2226737.jpg", "Обложка")</f>
        <v>Обложка</v>
      </c>
      <c r="V1336" s="24" t="str">
        <f>HYPERLINK("https://znanium.ru/catalog/product/1921373", "Ознакомиться")</f>
        <v>Ознакомиться</v>
      </c>
      <c r="W1336" s="8" t="s">
        <v>4433</v>
      </c>
      <c r="X1336" s="6"/>
      <c r="Y1336" s="6"/>
      <c r="Z1336" s="6"/>
      <c r="AA1336" s="6" t="s">
        <v>119</v>
      </c>
      <c r="AB1336" s="8"/>
    </row>
    <row r="1337" spans="1:28" s="4" customFormat="1" ht="44.1" customHeight="1">
      <c r="A1337" s="5">
        <v>0</v>
      </c>
      <c r="B1337" s="6" t="s">
        <v>7858</v>
      </c>
      <c r="C1337" s="7">
        <v>1128</v>
      </c>
      <c r="D1337" s="8" t="s">
        <v>7859</v>
      </c>
      <c r="E1337" s="8" t="s">
        <v>7860</v>
      </c>
      <c r="F1337" s="8" t="s">
        <v>7861</v>
      </c>
      <c r="G1337" s="6" t="s">
        <v>132</v>
      </c>
      <c r="H1337" s="6" t="s">
        <v>39</v>
      </c>
      <c r="I1337" s="8" t="s">
        <v>164</v>
      </c>
      <c r="J1337" s="9">
        <v>1</v>
      </c>
      <c r="K1337" s="9">
        <v>195</v>
      </c>
      <c r="L1337" s="9">
        <v>2023</v>
      </c>
      <c r="M1337" s="8" t="s">
        <v>7862</v>
      </c>
      <c r="N1337" s="8" t="s">
        <v>229</v>
      </c>
      <c r="O1337" s="8" t="s">
        <v>230</v>
      </c>
      <c r="P1337" s="6" t="s">
        <v>44</v>
      </c>
      <c r="Q1337" s="8" t="s">
        <v>45</v>
      </c>
      <c r="R1337" s="10" t="s">
        <v>7863</v>
      </c>
      <c r="S1337" s="11"/>
      <c r="T1337" s="6"/>
      <c r="U1337" s="24" t="str">
        <f>HYPERLINK("https://media.infra-m.ru/1893/1893199/cover/1893199.jpg", "Обложка")</f>
        <v>Обложка</v>
      </c>
      <c r="V1337" s="24" t="str">
        <f>HYPERLINK("https://znanium.ru/catalog/product/1893199", "Ознакомиться")</f>
        <v>Ознакомиться</v>
      </c>
      <c r="W1337" s="8" t="s">
        <v>7864</v>
      </c>
      <c r="X1337" s="6"/>
      <c r="Y1337" s="6"/>
      <c r="Z1337" s="6"/>
      <c r="AA1337" s="6" t="s">
        <v>119</v>
      </c>
      <c r="AB1337" s="8"/>
    </row>
    <row r="1338" spans="1:28" s="4" customFormat="1" ht="42" customHeight="1">
      <c r="A1338" s="5">
        <v>0</v>
      </c>
      <c r="B1338" s="6" t="s">
        <v>7865</v>
      </c>
      <c r="C1338" s="13">
        <v>996</v>
      </c>
      <c r="D1338" s="8" t="s">
        <v>7866</v>
      </c>
      <c r="E1338" s="8" t="s">
        <v>7867</v>
      </c>
      <c r="F1338" s="8" t="s">
        <v>7868</v>
      </c>
      <c r="G1338" s="6" t="s">
        <v>38</v>
      </c>
      <c r="H1338" s="6" t="s">
        <v>39</v>
      </c>
      <c r="I1338" s="8" t="s">
        <v>40</v>
      </c>
      <c r="J1338" s="9">
        <v>1</v>
      </c>
      <c r="K1338" s="9">
        <v>174</v>
      </c>
      <c r="L1338" s="9">
        <v>2022</v>
      </c>
      <c r="M1338" s="8" t="s">
        <v>7869</v>
      </c>
      <c r="N1338" s="8" t="s">
        <v>42</v>
      </c>
      <c r="O1338" s="8" t="s">
        <v>189</v>
      </c>
      <c r="P1338" s="6" t="s">
        <v>44</v>
      </c>
      <c r="Q1338" s="8" t="s">
        <v>45</v>
      </c>
      <c r="R1338" s="10" t="s">
        <v>2825</v>
      </c>
      <c r="S1338" s="11"/>
      <c r="T1338" s="6"/>
      <c r="U1338" s="24" t="str">
        <f>HYPERLINK("https://media.infra-m.ru/2110/2110475/cover/2110475.jpg", "Обложка")</f>
        <v>Обложка</v>
      </c>
      <c r="V1338" s="24" t="str">
        <f>HYPERLINK("https://znanium.ru/catalog/product/1860935", "Ознакомиться")</f>
        <v>Ознакомиться</v>
      </c>
      <c r="W1338" s="8" t="s">
        <v>1225</v>
      </c>
      <c r="X1338" s="6"/>
      <c r="Y1338" s="6"/>
      <c r="Z1338" s="6"/>
      <c r="AA1338" s="6" t="s">
        <v>111</v>
      </c>
      <c r="AB1338" s="8"/>
    </row>
    <row r="1339" spans="1:28" s="4" customFormat="1" ht="44.1" customHeight="1">
      <c r="A1339" s="5">
        <v>0</v>
      </c>
      <c r="B1339" s="6" t="s">
        <v>7870</v>
      </c>
      <c r="C1339" s="7">
        <v>1440</v>
      </c>
      <c r="D1339" s="8" t="s">
        <v>7871</v>
      </c>
      <c r="E1339" s="8" t="s">
        <v>7872</v>
      </c>
      <c r="F1339" s="8" t="s">
        <v>7873</v>
      </c>
      <c r="G1339" s="6" t="s">
        <v>132</v>
      </c>
      <c r="H1339" s="6" t="s">
        <v>39</v>
      </c>
      <c r="I1339" s="8" t="s">
        <v>40</v>
      </c>
      <c r="J1339" s="9">
        <v>1</v>
      </c>
      <c r="K1339" s="9">
        <v>228</v>
      </c>
      <c r="L1339" s="9">
        <v>2025</v>
      </c>
      <c r="M1339" s="8" t="s">
        <v>7874</v>
      </c>
      <c r="N1339" s="8" t="s">
        <v>42</v>
      </c>
      <c r="O1339" s="8" t="s">
        <v>246</v>
      </c>
      <c r="P1339" s="6" t="s">
        <v>44</v>
      </c>
      <c r="Q1339" s="8" t="s">
        <v>45</v>
      </c>
      <c r="R1339" s="10" t="s">
        <v>7875</v>
      </c>
      <c r="S1339" s="11"/>
      <c r="T1339" s="6"/>
      <c r="U1339" s="24" t="str">
        <f>HYPERLINK("https://media.infra-m.ru/2162/2162079/cover/2162079.jpg", "Обложка")</f>
        <v>Обложка</v>
      </c>
      <c r="V1339" s="24" t="str">
        <f>HYPERLINK("https://znanium.ru/catalog/product/2162079", "Ознакомиться")</f>
        <v>Ознакомиться</v>
      </c>
      <c r="W1339" s="8" t="s">
        <v>516</v>
      </c>
      <c r="X1339" s="6" t="s">
        <v>558</v>
      </c>
      <c r="Y1339" s="6"/>
      <c r="Z1339" s="6"/>
      <c r="AA1339" s="6" t="s">
        <v>159</v>
      </c>
      <c r="AB1339" s="8"/>
    </row>
    <row r="1340" spans="1:28" s="4" customFormat="1" ht="44.1" customHeight="1">
      <c r="A1340" s="5">
        <v>0</v>
      </c>
      <c r="B1340" s="6" t="s">
        <v>7876</v>
      </c>
      <c r="C1340" s="7">
        <v>1620</v>
      </c>
      <c r="D1340" s="8" t="s">
        <v>7877</v>
      </c>
      <c r="E1340" s="8" t="s">
        <v>7878</v>
      </c>
      <c r="F1340" s="8" t="s">
        <v>7879</v>
      </c>
      <c r="G1340" s="6" t="s">
        <v>38</v>
      </c>
      <c r="H1340" s="6" t="s">
        <v>39</v>
      </c>
      <c r="I1340" s="8" t="s">
        <v>40</v>
      </c>
      <c r="J1340" s="9">
        <v>1</v>
      </c>
      <c r="K1340" s="9">
        <v>260</v>
      </c>
      <c r="L1340" s="9">
        <v>2026</v>
      </c>
      <c r="M1340" s="8" t="s">
        <v>7880</v>
      </c>
      <c r="N1340" s="8" t="s">
        <v>229</v>
      </c>
      <c r="O1340" s="8" t="s">
        <v>230</v>
      </c>
      <c r="P1340" s="6" t="s">
        <v>44</v>
      </c>
      <c r="Q1340" s="8" t="s">
        <v>45</v>
      </c>
      <c r="R1340" s="10" t="s">
        <v>7881</v>
      </c>
      <c r="S1340" s="11"/>
      <c r="T1340" s="6"/>
      <c r="U1340" s="24" t="str">
        <f>HYPERLINK("https://media.infra-m.ru/2220/2220959/cover/2220959.jpg", "Обложка")</f>
        <v>Обложка</v>
      </c>
      <c r="V1340" s="24" t="str">
        <f>HYPERLINK("https://znanium.ru/catalog/product/2220959", "Ознакомиться")</f>
        <v>Ознакомиться</v>
      </c>
      <c r="W1340" s="8" t="s">
        <v>6418</v>
      </c>
      <c r="X1340" s="6"/>
      <c r="Y1340" s="6"/>
      <c r="Z1340" s="6"/>
      <c r="AA1340" s="6" t="s">
        <v>369</v>
      </c>
      <c r="AB1340" s="8"/>
    </row>
    <row r="1341" spans="1:28" s="4" customFormat="1" ht="51.95" customHeight="1">
      <c r="A1341" s="5">
        <v>0</v>
      </c>
      <c r="B1341" s="6" t="s">
        <v>7882</v>
      </c>
      <c r="C1341" s="7">
        <v>1084.8</v>
      </c>
      <c r="D1341" s="8" t="s">
        <v>7883</v>
      </c>
      <c r="E1341" s="8" t="s">
        <v>7884</v>
      </c>
      <c r="F1341" s="8" t="s">
        <v>7885</v>
      </c>
      <c r="G1341" s="6" t="s">
        <v>81</v>
      </c>
      <c r="H1341" s="6" t="s">
        <v>39</v>
      </c>
      <c r="I1341" s="8" t="s">
        <v>40</v>
      </c>
      <c r="J1341" s="9">
        <v>1</v>
      </c>
      <c r="K1341" s="9">
        <v>151</v>
      </c>
      <c r="L1341" s="9">
        <v>2026</v>
      </c>
      <c r="M1341" s="8" t="s">
        <v>7886</v>
      </c>
      <c r="N1341" s="8" t="s">
        <v>42</v>
      </c>
      <c r="O1341" s="8" t="s">
        <v>1315</v>
      </c>
      <c r="P1341" s="6" t="s">
        <v>44</v>
      </c>
      <c r="Q1341" s="8" t="s">
        <v>45</v>
      </c>
      <c r="R1341" s="10" t="s">
        <v>7887</v>
      </c>
      <c r="S1341" s="11"/>
      <c r="T1341" s="6"/>
      <c r="U1341" s="24" t="str">
        <f>HYPERLINK("https://media.infra-m.ru/2222/2222955/cover/2222955.jpg", "Обложка")</f>
        <v>Обложка</v>
      </c>
      <c r="V1341" s="24" t="str">
        <f>HYPERLINK("https://znanium.ru/catalog/product/2136020", "Ознакомиться")</f>
        <v>Ознакомиться</v>
      </c>
      <c r="W1341" s="8" t="s">
        <v>6130</v>
      </c>
      <c r="X1341" s="6"/>
      <c r="Y1341" s="6"/>
      <c r="Z1341" s="6"/>
      <c r="AA1341" s="6" t="s">
        <v>119</v>
      </c>
      <c r="AB1341" s="8" t="s">
        <v>766</v>
      </c>
    </row>
    <row r="1342" spans="1:28" s="4" customFormat="1" ht="42" customHeight="1">
      <c r="A1342" s="5">
        <v>0</v>
      </c>
      <c r="B1342" s="6" t="s">
        <v>7888</v>
      </c>
      <c r="C1342" s="13">
        <v>972</v>
      </c>
      <c r="D1342" s="8" t="s">
        <v>7889</v>
      </c>
      <c r="E1342" s="8" t="s">
        <v>7890</v>
      </c>
      <c r="F1342" s="8" t="s">
        <v>7891</v>
      </c>
      <c r="G1342" s="6" t="s">
        <v>38</v>
      </c>
      <c r="H1342" s="6" t="s">
        <v>39</v>
      </c>
      <c r="I1342" s="8" t="s">
        <v>40</v>
      </c>
      <c r="J1342" s="9">
        <v>1</v>
      </c>
      <c r="K1342" s="9">
        <v>167</v>
      </c>
      <c r="L1342" s="9">
        <v>2023</v>
      </c>
      <c r="M1342" s="8" t="s">
        <v>7892</v>
      </c>
      <c r="N1342" s="8" t="s">
        <v>229</v>
      </c>
      <c r="O1342" s="8" t="s">
        <v>230</v>
      </c>
      <c r="P1342" s="6" t="s">
        <v>44</v>
      </c>
      <c r="Q1342" s="8" t="s">
        <v>45</v>
      </c>
      <c r="R1342" s="10" t="s">
        <v>7893</v>
      </c>
      <c r="S1342" s="11"/>
      <c r="T1342" s="6"/>
      <c r="U1342" s="24" t="str">
        <f>HYPERLINK("https://media.infra-m.ru/1897/1897148/cover/1897148.jpg", "Обложка")</f>
        <v>Обложка</v>
      </c>
      <c r="V1342" s="24" t="str">
        <f>HYPERLINK("https://znanium.ru/catalog/product/1897148", "Ознакомиться")</f>
        <v>Ознакомиться</v>
      </c>
      <c r="W1342" s="8" t="s">
        <v>191</v>
      </c>
      <c r="X1342" s="6"/>
      <c r="Y1342" s="6"/>
      <c r="Z1342" s="6"/>
      <c r="AA1342" s="6" t="s">
        <v>119</v>
      </c>
      <c r="AB1342" s="8"/>
    </row>
    <row r="1343" spans="1:28" s="4" customFormat="1" ht="51.95" customHeight="1">
      <c r="A1343" s="5">
        <v>0</v>
      </c>
      <c r="B1343" s="6" t="s">
        <v>7894</v>
      </c>
      <c r="C1343" s="7">
        <v>1792.8</v>
      </c>
      <c r="D1343" s="8" t="s">
        <v>7895</v>
      </c>
      <c r="E1343" s="8" t="s">
        <v>7896</v>
      </c>
      <c r="F1343" s="8" t="s">
        <v>7897</v>
      </c>
      <c r="G1343" s="6" t="s">
        <v>132</v>
      </c>
      <c r="H1343" s="6" t="s">
        <v>39</v>
      </c>
      <c r="I1343" s="8" t="s">
        <v>40</v>
      </c>
      <c r="J1343" s="9">
        <v>1</v>
      </c>
      <c r="K1343" s="9">
        <v>288</v>
      </c>
      <c r="L1343" s="9">
        <v>2025</v>
      </c>
      <c r="M1343" s="8" t="s">
        <v>7898</v>
      </c>
      <c r="N1343" s="8" t="s">
        <v>42</v>
      </c>
      <c r="O1343" s="8" t="s">
        <v>246</v>
      </c>
      <c r="P1343" s="6" t="s">
        <v>44</v>
      </c>
      <c r="Q1343" s="8" t="s">
        <v>45</v>
      </c>
      <c r="R1343" s="10" t="s">
        <v>7899</v>
      </c>
      <c r="S1343" s="11"/>
      <c r="T1343" s="6"/>
      <c r="U1343" s="24" t="str">
        <f>HYPERLINK("https://media.infra-m.ru/2208/2208459/cover/2208459.jpg", "Обложка")</f>
        <v>Обложка</v>
      </c>
      <c r="V1343" s="24" t="str">
        <f>HYPERLINK("https://znanium.ru/catalog/product/925844", "Ознакомиться")</f>
        <v>Ознакомиться</v>
      </c>
      <c r="W1343" s="8" t="s">
        <v>207</v>
      </c>
      <c r="X1343" s="6"/>
      <c r="Y1343" s="6"/>
      <c r="Z1343" s="6"/>
      <c r="AA1343" s="6" t="s">
        <v>127</v>
      </c>
      <c r="AB1343" s="8"/>
    </row>
    <row r="1344" spans="1:28" s="4" customFormat="1" ht="51.95" customHeight="1">
      <c r="A1344" s="5">
        <v>0</v>
      </c>
      <c r="B1344" s="6" t="s">
        <v>7900</v>
      </c>
      <c r="C1344" s="7">
        <v>1140</v>
      </c>
      <c r="D1344" s="8" t="s">
        <v>7901</v>
      </c>
      <c r="E1344" s="8" t="s">
        <v>7902</v>
      </c>
      <c r="F1344" s="8" t="s">
        <v>7903</v>
      </c>
      <c r="G1344" s="6" t="s">
        <v>81</v>
      </c>
      <c r="H1344" s="6" t="s">
        <v>39</v>
      </c>
      <c r="I1344" s="8" t="s">
        <v>40</v>
      </c>
      <c r="J1344" s="9">
        <v>1</v>
      </c>
      <c r="K1344" s="9">
        <v>190</v>
      </c>
      <c r="L1344" s="9">
        <v>2025</v>
      </c>
      <c r="M1344" s="8" t="s">
        <v>7904</v>
      </c>
      <c r="N1344" s="8" t="s">
        <v>42</v>
      </c>
      <c r="O1344" s="8" t="s">
        <v>101</v>
      </c>
      <c r="P1344" s="6" t="s">
        <v>44</v>
      </c>
      <c r="Q1344" s="8" t="s">
        <v>45</v>
      </c>
      <c r="R1344" s="10" t="s">
        <v>2898</v>
      </c>
      <c r="S1344" s="11"/>
      <c r="T1344" s="6"/>
      <c r="U1344" s="24" t="str">
        <f>HYPERLINK("https://media.infra-m.ru/2188/2188197/cover/2188197.jpg", "Обложка")</f>
        <v>Обложка</v>
      </c>
      <c r="V1344" s="24" t="str">
        <f>HYPERLINK("https://znanium.ru/catalog/product/2188197", "Ознакомиться")</f>
        <v>Ознакомиться</v>
      </c>
      <c r="W1344" s="8" t="s">
        <v>3519</v>
      </c>
      <c r="X1344" s="6"/>
      <c r="Y1344" s="6"/>
      <c r="Z1344" s="6"/>
      <c r="AA1344" s="6" t="s">
        <v>111</v>
      </c>
      <c r="AB1344" s="8" t="s">
        <v>4389</v>
      </c>
    </row>
    <row r="1345" spans="1:28" s="4" customFormat="1" ht="44.1" customHeight="1">
      <c r="A1345" s="5">
        <v>0</v>
      </c>
      <c r="B1345" s="6" t="s">
        <v>7905</v>
      </c>
      <c r="C1345" s="7">
        <v>1176</v>
      </c>
      <c r="D1345" s="8" t="s">
        <v>7906</v>
      </c>
      <c r="E1345" s="8" t="s">
        <v>7907</v>
      </c>
      <c r="F1345" s="8" t="s">
        <v>7908</v>
      </c>
      <c r="G1345" s="6" t="s">
        <v>38</v>
      </c>
      <c r="H1345" s="6" t="s">
        <v>39</v>
      </c>
      <c r="I1345" s="8" t="s">
        <v>40</v>
      </c>
      <c r="J1345" s="9">
        <v>1</v>
      </c>
      <c r="K1345" s="9">
        <v>256</v>
      </c>
      <c r="L1345" s="9">
        <v>2022</v>
      </c>
      <c r="M1345" s="8" t="s">
        <v>7909</v>
      </c>
      <c r="N1345" s="8" t="s">
        <v>284</v>
      </c>
      <c r="O1345" s="8" t="s">
        <v>328</v>
      </c>
      <c r="P1345" s="6" t="s">
        <v>44</v>
      </c>
      <c r="Q1345" s="8" t="s">
        <v>45</v>
      </c>
      <c r="R1345" s="10" t="s">
        <v>7910</v>
      </c>
      <c r="S1345" s="11"/>
      <c r="T1345" s="6"/>
      <c r="U1345" s="24" t="str">
        <f>HYPERLINK("https://media.infra-m.ru/1864/1864107/cover/1864107.jpg", "Обложка")</f>
        <v>Обложка</v>
      </c>
      <c r="V1345" s="24" t="str">
        <f>HYPERLINK("https://znanium.ru/catalog/product/1864107", "Ознакомиться")</f>
        <v>Ознакомиться</v>
      </c>
      <c r="W1345" s="8" t="s">
        <v>7911</v>
      </c>
      <c r="X1345" s="6"/>
      <c r="Y1345" s="6"/>
      <c r="Z1345" s="6"/>
      <c r="AA1345" s="6" t="s">
        <v>199</v>
      </c>
      <c r="AB1345" s="8"/>
    </row>
    <row r="1346" spans="1:28" s="4" customFormat="1" ht="44.1" customHeight="1">
      <c r="A1346" s="5">
        <v>0</v>
      </c>
      <c r="B1346" s="6" t="s">
        <v>7912</v>
      </c>
      <c r="C1346" s="7">
        <v>2800.8</v>
      </c>
      <c r="D1346" s="8" t="s">
        <v>7913</v>
      </c>
      <c r="E1346" s="8" t="s">
        <v>7914</v>
      </c>
      <c r="F1346" s="8" t="s">
        <v>7915</v>
      </c>
      <c r="G1346" s="6" t="s">
        <v>81</v>
      </c>
      <c r="H1346" s="6" t="s">
        <v>39</v>
      </c>
      <c r="I1346" s="8" t="s">
        <v>40</v>
      </c>
      <c r="J1346" s="9">
        <v>1</v>
      </c>
      <c r="K1346" s="9">
        <v>424</v>
      </c>
      <c r="L1346" s="9">
        <v>2026</v>
      </c>
      <c r="M1346" s="8" t="s">
        <v>7916</v>
      </c>
      <c r="N1346" s="8" t="s">
        <v>284</v>
      </c>
      <c r="O1346" s="8" t="s">
        <v>717</v>
      </c>
      <c r="P1346" s="6" t="s">
        <v>44</v>
      </c>
      <c r="Q1346" s="8" t="s">
        <v>45</v>
      </c>
      <c r="R1346" s="10" t="s">
        <v>7917</v>
      </c>
      <c r="S1346" s="11"/>
      <c r="T1346" s="6"/>
      <c r="U1346" s="24" t="str">
        <f>HYPERLINK("https://media.infra-m.ru/2225/2225174/cover/2225174.jpg", "Обложка")</f>
        <v>Обложка</v>
      </c>
      <c r="V1346" s="24" t="str">
        <f>HYPERLINK("https://znanium.ru/catalog/product/1157259", "Ознакомиться")</f>
        <v>Ознакомиться</v>
      </c>
      <c r="W1346" s="8" t="s">
        <v>732</v>
      </c>
      <c r="X1346" s="6"/>
      <c r="Y1346" s="6"/>
      <c r="Z1346" s="6"/>
      <c r="AA1346" s="6" t="s">
        <v>48</v>
      </c>
      <c r="AB1346" s="8"/>
    </row>
    <row r="1347" spans="1:28" s="4" customFormat="1" ht="42" customHeight="1">
      <c r="A1347" s="5">
        <v>0</v>
      </c>
      <c r="B1347" s="6" t="s">
        <v>7918</v>
      </c>
      <c r="C1347" s="13">
        <v>821.9</v>
      </c>
      <c r="D1347" s="8" t="s">
        <v>7919</v>
      </c>
      <c r="E1347" s="8" t="s">
        <v>7920</v>
      </c>
      <c r="F1347" s="8" t="s">
        <v>7921</v>
      </c>
      <c r="G1347" s="6" t="s">
        <v>38</v>
      </c>
      <c r="H1347" s="6" t="s">
        <v>1019</v>
      </c>
      <c r="I1347" s="8" t="s">
        <v>1020</v>
      </c>
      <c r="J1347" s="9">
        <v>1</v>
      </c>
      <c r="K1347" s="9">
        <v>152</v>
      </c>
      <c r="L1347" s="9">
        <v>2023</v>
      </c>
      <c r="M1347" s="8" t="s">
        <v>7922</v>
      </c>
      <c r="N1347" s="8" t="s">
        <v>284</v>
      </c>
      <c r="O1347" s="8" t="s">
        <v>285</v>
      </c>
      <c r="P1347" s="6" t="s">
        <v>44</v>
      </c>
      <c r="Q1347" s="8" t="s">
        <v>45</v>
      </c>
      <c r="R1347" s="10" t="s">
        <v>7923</v>
      </c>
      <c r="S1347" s="11"/>
      <c r="T1347" s="6"/>
      <c r="U1347" s="24" t="str">
        <f>HYPERLINK("https://media.infra-m.ru/1911/1911797/cover/1911797.jpg", "Обложка")</f>
        <v>Обложка</v>
      </c>
      <c r="V1347" s="24" t="str">
        <f>HYPERLINK("https://znanium.ru/catalog/product/1009968", "Ознакомиться")</f>
        <v>Ознакомиться</v>
      </c>
      <c r="W1347" s="8" t="s">
        <v>176</v>
      </c>
      <c r="X1347" s="6"/>
      <c r="Y1347" s="6"/>
      <c r="Z1347" s="6"/>
      <c r="AA1347" s="6" t="s">
        <v>377</v>
      </c>
      <c r="AB1347" s="8"/>
    </row>
    <row r="1348" spans="1:28" s="4" customFormat="1" ht="51.95" customHeight="1">
      <c r="A1348" s="5">
        <v>0</v>
      </c>
      <c r="B1348" s="6" t="s">
        <v>7924</v>
      </c>
      <c r="C1348" s="13">
        <v>888</v>
      </c>
      <c r="D1348" s="8" t="s">
        <v>7925</v>
      </c>
      <c r="E1348" s="8" t="s">
        <v>7926</v>
      </c>
      <c r="F1348" s="8" t="s">
        <v>7927</v>
      </c>
      <c r="G1348" s="6" t="s">
        <v>38</v>
      </c>
      <c r="H1348" s="6" t="s">
        <v>182</v>
      </c>
      <c r="I1348" s="8" t="s">
        <v>40</v>
      </c>
      <c r="J1348" s="9">
        <v>1</v>
      </c>
      <c r="K1348" s="9">
        <v>148</v>
      </c>
      <c r="L1348" s="9">
        <v>2024</v>
      </c>
      <c r="M1348" s="8" t="s">
        <v>7928</v>
      </c>
      <c r="N1348" s="8" t="s">
        <v>220</v>
      </c>
      <c r="O1348" s="8" t="s">
        <v>221</v>
      </c>
      <c r="P1348" s="6" t="s">
        <v>44</v>
      </c>
      <c r="Q1348" s="8" t="s">
        <v>1152</v>
      </c>
      <c r="R1348" s="10" t="s">
        <v>7929</v>
      </c>
      <c r="S1348" s="11"/>
      <c r="T1348" s="6"/>
      <c r="U1348" s="24" t="str">
        <f>HYPERLINK("https://media.infra-m.ru/2140/2140564/cover/2140564.jpg", "Обложка")</f>
        <v>Обложка</v>
      </c>
      <c r="V1348" s="24" t="str">
        <f>HYPERLINK("https://znanium.ru/catalog/product/2140564", "Ознакомиться")</f>
        <v>Ознакомиться</v>
      </c>
      <c r="W1348" s="8" t="s">
        <v>2138</v>
      </c>
      <c r="X1348" s="6"/>
      <c r="Y1348" s="6"/>
      <c r="Z1348" s="6"/>
      <c r="AA1348" s="6" t="s">
        <v>377</v>
      </c>
      <c r="AB1348" s="8"/>
    </row>
    <row r="1349" spans="1:28" s="4" customFormat="1" ht="51.95" customHeight="1">
      <c r="A1349" s="5">
        <v>0</v>
      </c>
      <c r="B1349" s="6" t="s">
        <v>7930</v>
      </c>
      <c r="C1349" s="7">
        <v>2392.8000000000002</v>
      </c>
      <c r="D1349" s="8" t="s">
        <v>7931</v>
      </c>
      <c r="E1349" s="8" t="s">
        <v>7932</v>
      </c>
      <c r="F1349" s="8" t="s">
        <v>7933</v>
      </c>
      <c r="G1349" s="6" t="s">
        <v>132</v>
      </c>
      <c r="H1349" s="6" t="s">
        <v>99</v>
      </c>
      <c r="I1349" s="8"/>
      <c r="J1349" s="9">
        <v>1</v>
      </c>
      <c r="K1349" s="9">
        <v>448</v>
      </c>
      <c r="L1349" s="9">
        <v>2024</v>
      </c>
      <c r="M1349" s="8" t="s">
        <v>7934</v>
      </c>
      <c r="N1349" s="8" t="s">
        <v>42</v>
      </c>
      <c r="O1349" s="8" t="s">
        <v>189</v>
      </c>
      <c r="P1349" s="6" t="s">
        <v>44</v>
      </c>
      <c r="Q1349" s="8" t="s">
        <v>416</v>
      </c>
      <c r="R1349" s="10" t="s">
        <v>7935</v>
      </c>
      <c r="S1349" s="11"/>
      <c r="T1349" s="6"/>
      <c r="U1349" s="24" t="str">
        <f>HYPERLINK("https://media.infra-m.ru/2056/2056639/cover/2056639.jpg", "Обложка")</f>
        <v>Обложка</v>
      </c>
      <c r="V1349" s="24" t="str">
        <f>HYPERLINK("https://znanium.ru/catalog/product/756205", "Ознакомиться")</f>
        <v>Ознакомиться</v>
      </c>
      <c r="W1349" s="8" t="s">
        <v>3715</v>
      </c>
      <c r="X1349" s="6"/>
      <c r="Y1349" s="6"/>
      <c r="Z1349" s="6"/>
      <c r="AA1349" s="6" t="s">
        <v>5198</v>
      </c>
      <c r="AB1349" s="8"/>
    </row>
    <row r="1350" spans="1:28" s="4" customFormat="1" ht="51.95" customHeight="1">
      <c r="A1350" s="5">
        <v>0</v>
      </c>
      <c r="B1350" s="6" t="s">
        <v>7936</v>
      </c>
      <c r="C1350" s="7">
        <v>1008</v>
      </c>
      <c r="D1350" s="8" t="s">
        <v>7937</v>
      </c>
      <c r="E1350" s="8" t="s">
        <v>7938</v>
      </c>
      <c r="F1350" s="8" t="s">
        <v>5932</v>
      </c>
      <c r="G1350" s="6" t="s">
        <v>132</v>
      </c>
      <c r="H1350" s="6" t="s">
        <v>39</v>
      </c>
      <c r="I1350" s="8" t="s">
        <v>40</v>
      </c>
      <c r="J1350" s="9">
        <v>1</v>
      </c>
      <c r="K1350" s="9">
        <v>179</v>
      </c>
      <c r="L1350" s="9">
        <v>2023</v>
      </c>
      <c r="M1350" s="8" t="s">
        <v>7939</v>
      </c>
      <c r="N1350" s="8" t="s">
        <v>42</v>
      </c>
      <c r="O1350" s="8" t="s">
        <v>189</v>
      </c>
      <c r="P1350" s="6" t="s">
        <v>44</v>
      </c>
      <c r="Q1350" s="8" t="s">
        <v>45</v>
      </c>
      <c r="R1350" s="10" t="s">
        <v>7940</v>
      </c>
      <c r="S1350" s="11"/>
      <c r="T1350" s="6"/>
      <c r="U1350" s="24" t="str">
        <f>HYPERLINK("https://media.infra-m.ru/2048/2048104/cover/2048104.jpg", "Обложка")</f>
        <v>Обложка</v>
      </c>
      <c r="V1350" s="24" t="str">
        <f>HYPERLINK("https://znanium.ru/catalog/product/2048104", "Ознакомиться")</f>
        <v>Ознакомиться</v>
      </c>
      <c r="W1350" s="8" t="s">
        <v>3948</v>
      </c>
      <c r="X1350" s="6"/>
      <c r="Y1350" s="6"/>
      <c r="Z1350" s="6"/>
      <c r="AA1350" s="6" t="s">
        <v>119</v>
      </c>
      <c r="AB1350" s="8"/>
    </row>
    <row r="1351" spans="1:28" s="4" customFormat="1" ht="42" customHeight="1">
      <c r="A1351" s="5">
        <v>0</v>
      </c>
      <c r="B1351" s="6" t="s">
        <v>7941</v>
      </c>
      <c r="C1351" s="7">
        <v>1056</v>
      </c>
      <c r="D1351" s="8" t="s">
        <v>7942</v>
      </c>
      <c r="E1351" s="8" t="s">
        <v>7943</v>
      </c>
      <c r="F1351" s="8" t="s">
        <v>7944</v>
      </c>
      <c r="G1351" s="6" t="s">
        <v>81</v>
      </c>
      <c r="H1351" s="6" t="s">
        <v>99</v>
      </c>
      <c r="I1351" s="8" t="s">
        <v>7945</v>
      </c>
      <c r="J1351" s="9">
        <v>1</v>
      </c>
      <c r="K1351" s="9">
        <v>176</v>
      </c>
      <c r="L1351" s="9">
        <v>2025</v>
      </c>
      <c r="M1351" s="8" t="s">
        <v>7946</v>
      </c>
      <c r="N1351" s="8" t="s">
        <v>42</v>
      </c>
      <c r="O1351" s="8" t="s">
        <v>101</v>
      </c>
      <c r="P1351" s="6" t="s">
        <v>44</v>
      </c>
      <c r="Q1351" s="8" t="s">
        <v>45</v>
      </c>
      <c r="R1351" s="10" t="s">
        <v>2137</v>
      </c>
      <c r="S1351" s="11"/>
      <c r="T1351" s="6"/>
      <c r="U1351" s="24" t="str">
        <f>HYPERLINK("https://media.infra-m.ru/2169/2169237/cover/2169237.jpg", "Обложка")</f>
        <v>Обложка</v>
      </c>
      <c r="V1351" s="24" t="str">
        <f>HYPERLINK("https://znanium.ru/catalog/product/2169237", "Ознакомиться")</f>
        <v>Ознакомиться</v>
      </c>
      <c r="W1351" s="8" t="s">
        <v>191</v>
      </c>
      <c r="X1351" s="6"/>
      <c r="Y1351" s="6"/>
      <c r="Z1351" s="6"/>
      <c r="AA1351" s="6" t="s">
        <v>536</v>
      </c>
      <c r="AB1351" s="8"/>
    </row>
    <row r="1352" spans="1:28" s="4" customFormat="1" ht="42" customHeight="1">
      <c r="A1352" s="5">
        <v>0</v>
      </c>
      <c r="B1352" s="6" t="s">
        <v>7947</v>
      </c>
      <c r="C1352" s="13">
        <v>828</v>
      </c>
      <c r="D1352" s="8" t="s">
        <v>7948</v>
      </c>
      <c r="E1352" s="8" t="s">
        <v>7949</v>
      </c>
      <c r="F1352" s="8" t="s">
        <v>7950</v>
      </c>
      <c r="G1352" s="6" t="s">
        <v>38</v>
      </c>
      <c r="H1352" s="6" t="s">
        <v>39</v>
      </c>
      <c r="I1352" s="8" t="s">
        <v>40</v>
      </c>
      <c r="J1352" s="9">
        <v>1</v>
      </c>
      <c r="K1352" s="9">
        <v>158</v>
      </c>
      <c r="L1352" s="9">
        <v>2022</v>
      </c>
      <c r="M1352" s="8" t="s">
        <v>7951</v>
      </c>
      <c r="N1352" s="8" t="s">
        <v>54</v>
      </c>
      <c r="O1352" s="8" t="s">
        <v>91</v>
      </c>
      <c r="P1352" s="6" t="s">
        <v>44</v>
      </c>
      <c r="Q1352" s="8" t="s">
        <v>45</v>
      </c>
      <c r="R1352" s="10" t="s">
        <v>7952</v>
      </c>
      <c r="S1352" s="11"/>
      <c r="T1352" s="6"/>
      <c r="U1352" s="24" t="str">
        <f>HYPERLINK("https://media.infra-m.ru/1856/1856825/cover/1856825.jpg", "Обложка")</f>
        <v>Обложка</v>
      </c>
      <c r="V1352" s="24" t="str">
        <f>HYPERLINK("https://znanium.ru/catalog/product/1856825", "Ознакомиться")</f>
        <v>Ознакомиться</v>
      </c>
      <c r="W1352" s="8" t="s">
        <v>7953</v>
      </c>
      <c r="X1352" s="6"/>
      <c r="Y1352" s="6"/>
      <c r="Z1352" s="6"/>
      <c r="AA1352" s="6" t="s">
        <v>111</v>
      </c>
      <c r="AB1352" s="8"/>
    </row>
    <row r="1353" spans="1:28" s="4" customFormat="1" ht="42" customHeight="1">
      <c r="A1353" s="5">
        <v>0</v>
      </c>
      <c r="B1353" s="6" t="s">
        <v>7954</v>
      </c>
      <c r="C1353" s="7">
        <v>1252.8</v>
      </c>
      <c r="D1353" s="8" t="s">
        <v>7955</v>
      </c>
      <c r="E1353" s="8" t="s">
        <v>7956</v>
      </c>
      <c r="F1353" s="8" t="s">
        <v>7957</v>
      </c>
      <c r="G1353" s="6" t="s">
        <v>81</v>
      </c>
      <c r="H1353" s="6" t="s">
        <v>39</v>
      </c>
      <c r="I1353" s="8" t="s">
        <v>1055</v>
      </c>
      <c r="J1353" s="9">
        <v>1</v>
      </c>
      <c r="K1353" s="9">
        <v>191</v>
      </c>
      <c r="L1353" s="9">
        <v>2026</v>
      </c>
      <c r="M1353" s="8" t="s">
        <v>7958</v>
      </c>
      <c r="N1353" s="8" t="s">
        <v>42</v>
      </c>
      <c r="O1353" s="8" t="s">
        <v>1035</v>
      </c>
      <c r="P1353" s="6" t="s">
        <v>1057</v>
      </c>
      <c r="Q1353" s="8" t="s">
        <v>287</v>
      </c>
      <c r="R1353" s="10" t="s">
        <v>7959</v>
      </c>
      <c r="S1353" s="11"/>
      <c r="T1353" s="6"/>
      <c r="U1353" s="24" t="str">
        <f>HYPERLINK("https://media.infra-m.ru/2226/2226494/cover/2226494.jpg", "Обложка")</f>
        <v>Обложка</v>
      </c>
      <c r="V1353" s="24" t="str">
        <f>HYPERLINK("https://znanium.ru/catalog/product/2183780", "Ознакомиться")</f>
        <v>Ознакомиться</v>
      </c>
      <c r="W1353" s="8" t="s">
        <v>191</v>
      </c>
      <c r="X1353" s="6"/>
      <c r="Y1353" s="6"/>
      <c r="Z1353" s="6"/>
      <c r="AA1353" s="6" t="s">
        <v>159</v>
      </c>
      <c r="AB1353" s="8"/>
    </row>
    <row r="1354" spans="1:28" s="4" customFormat="1" ht="44.1" customHeight="1">
      <c r="A1354" s="5">
        <v>0</v>
      </c>
      <c r="B1354" s="6" t="s">
        <v>7960</v>
      </c>
      <c r="C1354" s="7">
        <v>1428</v>
      </c>
      <c r="D1354" s="8" t="s">
        <v>7961</v>
      </c>
      <c r="E1354" s="8" t="s">
        <v>7962</v>
      </c>
      <c r="F1354" s="8" t="s">
        <v>2562</v>
      </c>
      <c r="G1354" s="6" t="s">
        <v>38</v>
      </c>
      <c r="H1354" s="6" t="s">
        <v>39</v>
      </c>
      <c r="I1354" s="8" t="s">
        <v>40</v>
      </c>
      <c r="J1354" s="9">
        <v>1</v>
      </c>
      <c r="K1354" s="9">
        <v>210</v>
      </c>
      <c r="L1354" s="9">
        <v>2026</v>
      </c>
      <c r="M1354" s="8" t="s">
        <v>7963</v>
      </c>
      <c r="N1354" s="8" t="s">
        <v>42</v>
      </c>
      <c r="O1354" s="8" t="s">
        <v>101</v>
      </c>
      <c r="P1354" s="6" t="s">
        <v>44</v>
      </c>
      <c r="Q1354" s="8" t="s">
        <v>45</v>
      </c>
      <c r="R1354" s="10" t="s">
        <v>692</v>
      </c>
      <c r="S1354" s="11"/>
      <c r="T1354" s="6"/>
      <c r="U1354" s="24" t="str">
        <f>HYPERLINK("https://media.infra-m.ru/2206/2206497/cover/2206497.jpg", "Обложка")</f>
        <v>Обложка</v>
      </c>
      <c r="V1354" s="24" t="str">
        <f>HYPERLINK("https://znanium.ru/catalog/product/2206497", "Ознакомиться")</f>
        <v>Ознакомиться</v>
      </c>
      <c r="W1354" s="8" t="s">
        <v>314</v>
      </c>
      <c r="X1354" s="6" t="s">
        <v>1094</v>
      </c>
      <c r="Y1354" s="6"/>
      <c r="Z1354" s="6"/>
      <c r="AA1354" s="6" t="s">
        <v>833</v>
      </c>
      <c r="AB1354" s="8"/>
    </row>
    <row r="1355" spans="1:28" s="4" customFormat="1" ht="51.95" customHeight="1">
      <c r="A1355" s="5">
        <v>0</v>
      </c>
      <c r="B1355" s="6" t="s">
        <v>7964</v>
      </c>
      <c r="C1355" s="13">
        <v>948</v>
      </c>
      <c r="D1355" s="8" t="s">
        <v>7965</v>
      </c>
      <c r="E1355" s="8" t="s">
        <v>7966</v>
      </c>
      <c r="F1355" s="8" t="s">
        <v>7967</v>
      </c>
      <c r="G1355" s="6" t="s">
        <v>38</v>
      </c>
      <c r="H1355" s="6" t="s">
        <v>39</v>
      </c>
      <c r="I1355" s="8" t="s">
        <v>40</v>
      </c>
      <c r="J1355" s="9">
        <v>1</v>
      </c>
      <c r="K1355" s="9">
        <v>157</v>
      </c>
      <c r="L1355" s="9">
        <v>2025</v>
      </c>
      <c r="M1355" s="8" t="s">
        <v>7968</v>
      </c>
      <c r="N1355" s="8" t="s">
        <v>284</v>
      </c>
      <c r="O1355" s="8" t="s">
        <v>312</v>
      </c>
      <c r="P1355" s="6" t="s">
        <v>44</v>
      </c>
      <c r="Q1355" s="8" t="s">
        <v>45</v>
      </c>
      <c r="R1355" s="10" t="s">
        <v>7969</v>
      </c>
      <c r="S1355" s="11"/>
      <c r="T1355" s="6"/>
      <c r="U1355" s="24" t="str">
        <f>HYPERLINK("https://media.infra-m.ru/2186/2186142/cover/2186142.jpg", "Обложка")</f>
        <v>Обложка</v>
      </c>
      <c r="V1355" s="24" t="str">
        <f>HYPERLINK("https://znanium.ru/catalog/product/2020542", "Ознакомиться")</f>
        <v>Ознакомиться</v>
      </c>
      <c r="W1355" s="8" t="s">
        <v>7970</v>
      </c>
      <c r="X1355" s="6"/>
      <c r="Y1355" s="6"/>
      <c r="Z1355" s="6"/>
      <c r="AA1355" s="6" t="s">
        <v>94</v>
      </c>
      <c r="AB1355" s="8"/>
    </row>
    <row r="1356" spans="1:28" s="4" customFormat="1" ht="42" customHeight="1">
      <c r="A1356" s="5">
        <v>0</v>
      </c>
      <c r="B1356" s="6" t="s">
        <v>7971</v>
      </c>
      <c r="C1356" s="7">
        <v>1104</v>
      </c>
      <c r="D1356" s="8" t="s">
        <v>7972</v>
      </c>
      <c r="E1356" s="8" t="s">
        <v>7973</v>
      </c>
      <c r="F1356" s="8" t="s">
        <v>7974</v>
      </c>
      <c r="G1356" s="6" t="s">
        <v>38</v>
      </c>
      <c r="H1356" s="6" t="s">
        <v>39</v>
      </c>
      <c r="I1356" s="8" t="s">
        <v>40</v>
      </c>
      <c r="J1356" s="9">
        <v>1</v>
      </c>
      <c r="K1356" s="9">
        <v>193</v>
      </c>
      <c r="L1356" s="9">
        <v>2024</v>
      </c>
      <c r="M1356" s="8" t="s">
        <v>7975</v>
      </c>
      <c r="N1356" s="8" t="s">
        <v>220</v>
      </c>
      <c r="O1356" s="8" t="s">
        <v>252</v>
      </c>
      <c r="P1356" s="6" t="s">
        <v>44</v>
      </c>
      <c r="Q1356" s="8" t="s">
        <v>45</v>
      </c>
      <c r="R1356" s="10" t="s">
        <v>7976</v>
      </c>
      <c r="S1356" s="11"/>
      <c r="T1356" s="6"/>
      <c r="U1356" s="24" t="str">
        <f>HYPERLINK("https://media.infra-m.ru/2083/2083333/cover/2083333.jpg", "Обложка")</f>
        <v>Обложка</v>
      </c>
      <c r="V1356" s="24" t="str">
        <f>HYPERLINK("https://znanium.ru/catalog/product/2083333", "Ознакомиться")</f>
        <v>Ознакомиться</v>
      </c>
      <c r="W1356" s="8" t="s">
        <v>996</v>
      </c>
      <c r="X1356" s="6"/>
      <c r="Y1356" s="6"/>
      <c r="Z1356" s="6"/>
      <c r="AA1356" s="6" t="s">
        <v>58</v>
      </c>
      <c r="AB1356" s="8" t="s">
        <v>766</v>
      </c>
    </row>
    <row r="1357" spans="1:28" s="4" customFormat="1" ht="51.95" customHeight="1">
      <c r="A1357" s="5">
        <v>0</v>
      </c>
      <c r="B1357" s="6" t="s">
        <v>7977</v>
      </c>
      <c r="C1357" s="13">
        <v>700.8</v>
      </c>
      <c r="D1357" s="8" t="s">
        <v>7978</v>
      </c>
      <c r="E1357" s="8" t="s">
        <v>7979</v>
      </c>
      <c r="F1357" s="8" t="s">
        <v>7980</v>
      </c>
      <c r="G1357" s="6" t="s">
        <v>38</v>
      </c>
      <c r="H1357" s="6" t="s">
        <v>39</v>
      </c>
      <c r="I1357" s="8" t="s">
        <v>1055</v>
      </c>
      <c r="J1357" s="9">
        <v>1</v>
      </c>
      <c r="K1357" s="9">
        <v>99</v>
      </c>
      <c r="L1357" s="9">
        <v>2025</v>
      </c>
      <c r="M1357" s="8" t="s">
        <v>7981</v>
      </c>
      <c r="N1357" s="8" t="s">
        <v>54</v>
      </c>
      <c r="O1357" s="8" t="s">
        <v>55</v>
      </c>
      <c r="P1357" s="6" t="s">
        <v>1057</v>
      </c>
      <c r="Q1357" s="8" t="s">
        <v>287</v>
      </c>
      <c r="R1357" s="10" t="s">
        <v>7982</v>
      </c>
      <c r="S1357" s="11"/>
      <c r="T1357" s="6"/>
      <c r="U1357" s="24" t="str">
        <f>HYPERLINK("https://media.infra-m.ru/2206/2206153/cover/2206153.jpg", "Обложка")</f>
        <v>Обложка</v>
      </c>
      <c r="V1357" s="24" t="str">
        <f>HYPERLINK("https://znanium.ru/catalog/product/2202167", "Ознакомиться")</f>
        <v>Ознакомиться</v>
      </c>
      <c r="W1357" s="8" t="s">
        <v>516</v>
      </c>
      <c r="X1357" s="6"/>
      <c r="Y1357" s="6"/>
      <c r="Z1357" s="6"/>
      <c r="AA1357" s="6" t="s">
        <v>58</v>
      </c>
      <c r="AB1357" s="8"/>
    </row>
    <row r="1358" spans="1:28" s="4" customFormat="1" ht="51.95" customHeight="1">
      <c r="A1358" s="5">
        <v>0</v>
      </c>
      <c r="B1358" s="6" t="s">
        <v>7983</v>
      </c>
      <c r="C1358" s="7">
        <v>1253.9000000000001</v>
      </c>
      <c r="D1358" s="8" t="s">
        <v>7984</v>
      </c>
      <c r="E1358" s="8" t="s">
        <v>7985</v>
      </c>
      <c r="F1358" s="8" t="s">
        <v>4552</v>
      </c>
      <c r="G1358" s="6" t="s">
        <v>38</v>
      </c>
      <c r="H1358" s="6" t="s">
        <v>182</v>
      </c>
      <c r="I1358" s="8" t="s">
        <v>40</v>
      </c>
      <c r="J1358" s="9">
        <v>1</v>
      </c>
      <c r="K1358" s="9">
        <v>268</v>
      </c>
      <c r="L1358" s="9">
        <v>2022</v>
      </c>
      <c r="M1358" s="8" t="s">
        <v>7986</v>
      </c>
      <c r="N1358" s="8" t="s">
        <v>42</v>
      </c>
      <c r="O1358" s="8" t="s">
        <v>101</v>
      </c>
      <c r="P1358" s="6" t="s">
        <v>44</v>
      </c>
      <c r="Q1358" s="8" t="s">
        <v>45</v>
      </c>
      <c r="R1358" s="10" t="s">
        <v>7987</v>
      </c>
      <c r="S1358" s="11"/>
      <c r="T1358" s="6"/>
      <c r="U1358" s="24" t="str">
        <f>HYPERLINK("https://media.infra-m.ru/1859/1859602/cover/1859602.jpg", "Обложка")</f>
        <v>Обложка</v>
      </c>
      <c r="V1358" s="24" t="str">
        <f>HYPERLINK("https://znanium.ru/catalog/product/2142669", "Ознакомиться")</f>
        <v>Ознакомиться</v>
      </c>
      <c r="W1358" s="8" t="s">
        <v>2138</v>
      </c>
      <c r="X1358" s="6"/>
      <c r="Y1358" s="6"/>
      <c r="Z1358" s="6"/>
      <c r="AA1358" s="6" t="s">
        <v>290</v>
      </c>
      <c r="AB1358" s="8"/>
    </row>
    <row r="1359" spans="1:28" s="4" customFormat="1" ht="51.95" customHeight="1">
      <c r="A1359" s="5">
        <v>0</v>
      </c>
      <c r="B1359" s="6" t="s">
        <v>7988</v>
      </c>
      <c r="C1359" s="7">
        <v>1620</v>
      </c>
      <c r="D1359" s="8" t="s">
        <v>7989</v>
      </c>
      <c r="E1359" s="8" t="s">
        <v>7990</v>
      </c>
      <c r="F1359" s="8" t="s">
        <v>4552</v>
      </c>
      <c r="G1359" s="6" t="s">
        <v>38</v>
      </c>
      <c r="H1359" s="6" t="s">
        <v>182</v>
      </c>
      <c r="I1359" s="8" t="s">
        <v>40</v>
      </c>
      <c r="J1359" s="14">
        <v>0</v>
      </c>
      <c r="K1359" s="9">
        <v>287</v>
      </c>
      <c r="L1359" s="9">
        <v>2024</v>
      </c>
      <c r="M1359" s="8" t="s">
        <v>7991</v>
      </c>
      <c r="N1359" s="8" t="s">
        <v>42</v>
      </c>
      <c r="O1359" s="8" t="s">
        <v>101</v>
      </c>
      <c r="P1359" s="6" t="s">
        <v>44</v>
      </c>
      <c r="Q1359" s="8" t="s">
        <v>287</v>
      </c>
      <c r="R1359" s="10" t="s">
        <v>7987</v>
      </c>
      <c r="S1359" s="11"/>
      <c r="T1359" s="6"/>
      <c r="U1359" s="24" t="str">
        <f>HYPERLINK("https://media.infra-m.ru/2142/2142669/cover/2142669.jpg", "Обложка")</f>
        <v>Обложка</v>
      </c>
      <c r="V1359" s="24" t="str">
        <f>HYPERLINK("https://znanium.ru/catalog/product/2142669", "Ознакомиться")</f>
        <v>Ознакомиться</v>
      </c>
      <c r="W1359" s="8" t="s">
        <v>2138</v>
      </c>
      <c r="X1359" s="6"/>
      <c r="Y1359" s="6"/>
      <c r="Z1359" s="6"/>
      <c r="AA1359" s="6" t="s">
        <v>2773</v>
      </c>
      <c r="AB1359" s="8"/>
    </row>
    <row r="1360" spans="1:28" s="4" customFormat="1" ht="51.95" customHeight="1">
      <c r="A1360" s="5">
        <v>0</v>
      </c>
      <c r="B1360" s="6" t="s">
        <v>7992</v>
      </c>
      <c r="C1360" s="7">
        <v>1260</v>
      </c>
      <c r="D1360" s="8" t="s">
        <v>7993</v>
      </c>
      <c r="E1360" s="8" t="s">
        <v>7994</v>
      </c>
      <c r="F1360" s="8" t="s">
        <v>7995</v>
      </c>
      <c r="G1360" s="6" t="s">
        <v>38</v>
      </c>
      <c r="H1360" s="6" t="s">
        <v>39</v>
      </c>
      <c r="I1360" s="8" t="s">
        <v>40</v>
      </c>
      <c r="J1360" s="9">
        <v>1</v>
      </c>
      <c r="K1360" s="9">
        <v>222</v>
      </c>
      <c r="L1360" s="9">
        <v>2025</v>
      </c>
      <c r="M1360" s="8" t="s">
        <v>7996</v>
      </c>
      <c r="N1360" s="8" t="s">
        <v>42</v>
      </c>
      <c r="O1360" s="8" t="s">
        <v>101</v>
      </c>
      <c r="P1360" s="6" t="s">
        <v>44</v>
      </c>
      <c r="Q1360" s="8" t="s">
        <v>45</v>
      </c>
      <c r="R1360" s="10" t="s">
        <v>1329</v>
      </c>
      <c r="S1360" s="11"/>
      <c r="T1360" s="6"/>
      <c r="U1360" s="24" t="str">
        <f>HYPERLINK("https://media.infra-m.ru/2149/2149118/cover/2149118.jpg", "Обложка")</f>
        <v>Обложка</v>
      </c>
      <c r="V1360" s="24" t="str">
        <f>HYPERLINK("https://znanium.ru/catalog/product/2149118", "Ознакомиться")</f>
        <v>Ознакомиться</v>
      </c>
      <c r="W1360" s="8" t="s">
        <v>3131</v>
      </c>
      <c r="X1360" s="6"/>
      <c r="Y1360" s="6"/>
      <c r="Z1360" s="6"/>
      <c r="AA1360" s="6" t="s">
        <v>199</v>
      </c>
      <c r="AB1360" s="8"/>
    </row>
    <row r="1361" spans="1:28" s="4" customFormat="1" ht="42" customHeight="1">
      <c r="A1361" s="5">
        <v>0</v>
      </c>
      <c r="B1361" s="6" t="s">
        <v>7997</v>
      </c>
      <c r="C1361" s="7">
        <v>3244.8</v>
      </c>
      <c r="D1361" s="8" t="s">
        <v>7998</v>
      </c>
      <c r="E1361" s="8" t="s">
        <v>7999</v>
      </c>
      <c r="F1361" s="8" t="s">
        <v>8000</v>
      </c>
      <c r="G1361" s="6" t="s">
        <v>81</v>
      </c>
      <c r="H1361" s="6" t="s">
        <v>39</v>
      </c>
      <c r="I1361" s="8" t="s">
        <v>40</v>
      </c>
      <c r="J1361" s="9">
        <v>1</v>
      </c>
      <c r="K1361" s="9">
        <v>574</v>
      </c>
      <c r="L1361" s="9">
        <v>2024</v>
      </c>
      <c r="M1361" s="8" t="s">
        <v>8001</v>
      </c>
      <c r="N1361" s="8" t="s">
        <v>42</v>
      </c>
      <c r="O1361" s="8" t="s">
        <v>101</v>
      </c>
      <c r="P1361" s="6" t="s">
        <v>44</v>
      </c>
      <c r="Q1361" s="8" t="s">
        <v>45</v>
      </c>
      <c r="R1361" s="10" t="s">
        <v>2287</v>
      </c>
      <c r="S1361" s="11"/>
      <c r="T1361" s="6"/>
      <c r="U1361" s="24" t="str">
        <f>HYPERLINK("https://media.infra-m.ru/2142/2142668/cover/2142668.jpg", "Обложка")</f>
        <v>Обложка</v>
      </c>
      <c r="V1361" s="24" t="str">
        <f>HYPERLINK("https://znanium.ru/catalog/product/2136635", "Ознакомиться")</f>
        <v>Ознакомиться</v>
      </c>
      <c r="W1361" s="8" t="s">
        <v>191</v>
      </c>
      <c r="X1361" s="6"/>
      <c r="Y1361" s="6"/>
      <c r="Z1361" s="6"/>
      <c r="AA1361" s="6" t="s">
        <v>127</v>
      </c>
      <c r="AB1361" s="8"/>
    </row>
    <row r="1362" spans="1:28" s="4" customFormat="1" ht="42" customHeight="1">
      <c r="A1362" s="5">
        <v>0</v>
      </c>
      <c r="B1362" s="6" t="s">
        <v>8002</v>
      </c>
      <c r="C1362" s="7">
        <v>1288.8</v>
      </c>
      <c r="D1362" s="8" t="s">
        <v>8003</v>
      </c>
      <c r="E1362" s="8" t="s">
        <v>8004</v>
      </c>
      <c r="F1362" s="8" t="s">
        <v>8005</v>
      </c>
      <c r="G1362" s="6" t="s">
        <v>38</v>
      </c>
      <c r="H1362" s="6" t="s">
        <v>39</v>
      </c>
      <c r="I1362" s="8" t="s">
        <v>40</v>
      </c>
      <c r="J1362" s="9">
        <v>1</v>
      </c>
      <c r="K1362" s="9">
        <v>214</v>
      </c>
      <c r="L1362" s="9">
        <v>2025</v>
      </c>
      <c r="M1362" s="8" t="s">
        <v>8006</v>
      </c>
      <c r="N1362" s="8" t="s">
        <v>229</v>
      </c>
      <c r="O1362" s="8" t="s">
        <v>230</v>
      </c>
      <c r="P1362" s="6" t="s">
        <v>44</v>
      </c>
      <c r="Q1362" s="8" t="s">
        <v>45</v>
      </c>
      <c r="R1362" s="10" t="s">
        <v>8007</v>
      </c>
      <c r="S1362" s="11"/>
      <c r="T1362" s="6"/>
      <c r="U1362" s="24" t="str">
        <f>HYPERLINK("https://media.infra-m.ru/2174/2174778/cover/2174778.jpg", "Обложка")</f>
        <v>Обложка</v>
      </c>
      <c r="V1362" s="24" t="str">
        <f>HYPERLINK("https://znanium.ru/catalog/product/1984074", "Ознакомиться")</f>
        <v>Ознакомиться</v>
      </c>
      <c r="W1362" s="8" t="s">
        <v>8008</v>
      </c>
      <c r="X1362" s="6"/>
      <c r="Y1362" s="6"/>
      <c r="Z1362" s="6"/>
      <c r="AA1362" s="6" t="s">
        <v>119</v>
      </c>
      <c r="AB1362" s="8"/>
    </row>
    <row r="1363" spans="1:28" s="4" customFormat="1" ht="42" customHeight="1">
      <c r="A1363" s="5">
        <v>0</v>
      </c>
      <c r="B1363" s="6" t="s">
        <v>8009</v>
      </c>
      <c r="C1363" s="7">
        <v>1584</v>
      </c>
      <c r="D1363" s="8" t="s">
        <v>8010</v>
      </c>
      <c r="E1363" s="8" t="s">
        <v>8011</v>
      </c>
      <c r="F1363" s="8" t="s">
        <v>8012</v>
      </c>
      <c r="G1363" s="6" t="s">
        <v>81</v>
      </c>
      <c r="H1363" s="6" t="s">
        <v>99</v>
      </c>
      <c r="I1363" s="8"/>
      <c r="J1363" s="9">
        <v>1</v>
      </c>
      <c r="K1363" s="9">
        <v>240</v>
      </c>
      <c r="L1363" s="9">
        <v>2026</v>
      </c>
      <c r="M1363" s="8" t="s">
        <v>8013</v>
      </c>
      <c r="N1363" s="8" t="s">
        <v>42</v>
      </c>
      <c r="O1363" s="8" t="s">
        <v>101</v>
      </c>
      <c r="P1363" s="6" t="s">
        <v>44</v>
      </c>
      <c r="Q1363" s="8" t="s">
        <v>45</v>
      </c>
      <c r="R1363" s="10" t="s">
        <v>2490</v>
      </c>
      <c r="S1363" s="11"/>
      <c r="T1363" s="6"/>
      <c r="U1363" s="24" t="str">
        <f>HYPERLINK("https://media.infra-m.ru/2225/2225680/cover/2225680.jpg", "Обложка")</f>
        <v>Обложка</v>
      </c>
      <c r="V1363" s="24" t="str">
        <f>HYPERLINK("https://znanium.ru/catalog/product/2225680", "Ознакомиться")</f>
        <v>Ознакомиться</v>
      </c>
      <c r="W1363" s="8" t="s">
        <v>103</v>
      </c>
      <c r="X1363" s="6"/>
      <c r="Y1363" s="6"/>
      <c r="Z1363" s="6"/>
      <c r="AA1363" s="6" t="s">
        <v>159</v>
      </c>
      <c r="AB1363" s="8"/>
    </row>
    <row r="1364" spans="1:28" s="4" customFormat="1" ht="42" customHeight="1">
      <c r="A1364" s="5">
        <v>0</v>
      </c>
      <c r="B1364" s="6" t="s">
        <v>8014</v>
      </c>
      <c r="C1364" s="13">
        <v>924</v>
      </c>
      <c r="D1364" s="8" t="s">
        <v>8015</v>
      </c>
      <c r="E1364" s="8" t="s">
        <v>8016</v>
      </c>
      <c r="F1364" s="8" t="s">
        <v>8017</v>
      </c>
      <c r="G1364" s="6" t="s">
        <v>38</v>
      </c>
      <c r="H1364" s="6" t="s">
        <v>39</v>
      </c>
      <c r="I1364" s="8" t="s">
        <v>40</v>
      </c>
      <c r="J1364" s="9">
        <v>1</v>
      </c>
      <c r="K1364" s="9">
        <v>145</v>
      </c>
      <c r="L1364" s="9">
        <v>2024</v>
      </c>
      <c r="M1364" s="8" t="s">
        <v>8018</v>
      </c>
      <c r="N1364" s="8" t="s">
        <v>220</v>
      </c>
      <c r="O1364" s="8" t="s">
        <v>221</v>
      </c>
      <c r="P1364" s="6" t="s">
        <v>44</v>
      </c>
      <c r="Q1364" s="8" t="s">
        <v>45</v>
      </c>
      <c r="R1364" s="10" t="s">
        <v>8019</v>
      </c>
      <c r="S1364" s="11"/>
      <c r="T1364" s="6"/>
      <c r="U1364" s="24" t="str">
        <f>HYPERLINK("https://media.infra-m.ru/2110/2110856/cover/2110856.jpg", "Обложка")</f>
        <v>Обложка</v>
      </c>
      <c r="V1364" s="24" t="str">
        <f>HYPERLINK("https://znanium.ru/catalog/product/2110856", "Ознакомиться")</f>
        <v>Ознакомиться</v>
      </c>
      <c r="W1364" s="8" t="s">
        <v>5222</v>
      </c>
      <c r="X1364" s="6"/>
      <c r="Y1364" s="6"/>
      <c r="Z1364" s="6"/>
      <c r="AA1364" s="6" t="s">
        <v>58</v>
      </c>
      <c r="AB1364" s="8"/>
    </row>
    <row r="1365" spans="1:28" s="4" customFormat="1" ht="44.1" customHeight="1">
      <c r="A1365" s="5">
        <v>0</v>
      </c>
      <c r="B1365" s="6" t="s">
        <v>8020</v>
      </c>
      <c r="C1365" s="7">
        <v>2544</v>
      </c>
      <c r="D1365" s="8" t="s">
        <v>8021</v>
      </c>
      <c r="E1365" s="8" t="s">
        <v>8022</v>
      </c>
      <c r="F1365" s="8" t="s">
        <v>8023</v>
      </c>
      <c r="G1365" s="6" t="s">
        <v>132</v>
      </c>
      <c r="H1365" s="6" t="s">
        <v>182</v>
      </c>
      <c r="I1365" s="8" t="s">
        <v>3259</v>
      </c>
      <c r="J1365" s="9">
        <v>1</v>
      </c>
      <c r="K1365" s="9">
        <v>406</v>
      </c>
      <c r="L1365" s="9">
        <v>2025</v>
      </c>
      <c r="M1365" s="8" t="s">
        <v>8024</v>
      </c>
      <c r="N1365" s="8" t="s">
        <v>42</v>
      </c>
      <c r="O1365" s="8" t="s">
        <v>101</v>
      </c>
      <c r="P1365" s="6" t="s">
        <v>44</v>
      </c>
      <c r="Q1365" s="8" t="s">
        <v>607</v>
      </c>
      <c r="R1365" s="10" t="s">
        <v>3915</v>
      </c>
      <c r="S1365" s="11"/>
      <c r="T1365" s="6"/>
      <c r="U1365" s="24" t="str">
        <f>HYPERLINK("https://media.infra-m.ru/2192/2192590/cover/2192590.jpg", "Обложка")</f>
        <v>Обложка</v>
      </c>
      <c r="V1365" s="24" t="str">
        <f>HYPERLINK("https://znanium.ru/catalog/product/2192590", "Ознакомиться")</f>
        <v>Ознакомиться</v>
      </c>
      <c r="W1365" s="8" t="s">
        <v>686</v>
      </c>
      <c r="X1365" s="6" t="s">
        <v>306</v>
      </c>
      <c r="Y1365" s="6"/>
      <c r="Z1365" s="6"/>
      <c r="AA1365" s="6" t="s">
        <v>159</v>
      </c>
      <c r="AB1365" s="8"/>
    </row>
    <row r="1366" spans="1:28" s="4" customFormat="1" ht="42" customHeight="1">
      <c r="A1366" s="5">
        <v>0</v>
      </c>
      <c r="B1366" s="6" t="s">
        <v>8025</v>
      </c>
      <c r="C1366" s="7">
        <v>2088</v>
      </c>
      <c r="D1366" s="8" t="s">
        <v>8026</v>
      </c>
      <c r="E1366" s="8" t="s">
        <v>8027</v>
      </c>
      <c r="F1366" s="8" t="s">
        <v>2123</v>
      </c>
      <c r="G1366" s="6" t="s">
        <v>132</v>
      </c>
      <c r="H1366" s="6" t="s">
        <v>39</v>
      </c>
      <c r="I1366" s="8" t="s">
        <v>40</v>
      </c>
      <c r="J1366" s="9">
        <v>1</v>
      </c>
      <c r="K1366" s="9">
        <v>336</v>
      </c>
      <c r="L1366" s="9">
        <v>2025</v>
      </c>
      <c r="M1366" s="8" t="s">
        <v>8028</v>
      </c>
      <c r="N1366" s="8" t="s">
        <v>42</v>
      </c>
      <c r="O1366" s="8" t="s">
        <v>101</v>
      </c>
      <c r="P1366" s="6" t="s">
        <v>44</v>
      </c>
      <c r="Q1366" s="8" t="s">
        <v>45</v>
      </c>
      <c r="R1366" s="10" t="s">
        <v>2885</v>
      </c>
      <c r="S1366" s="11"/>
      <c r="T1366" s="6"/>
      <c r="U1366" s="24" t="str">
        <f>HYPERLINK("https://media.infra-m.ru/2147/2147029/cover/2147029.jpg", "Обложка")</f>
        <v>Обложка</v>
      </c>
      <c r="V1366" s="24" t="str">
        <f>HYPERLINK("https://znanium.ru/catalog/product/2147029", "Ознакомиться")</f>
        <v>Ознакомиться</v>
      </c>
      <c r="W1366" s="8" t="s">
        <v>937</v>
      </c>
      <c r="X1366" s="6" t="s">
        <v>1188</v>
      </c>
      <c r="Y1366" s="6"/>
      <c r="Z1366" s="6"/>
      <c r="AA1366" s="6" t="s">
        <v>159</v>
      </c>
      <c r="AB1366" s="8"/>
    </row>
    <row r="1367" spans="1:28" s="4" customFormat="1" ht="42" customHeight="1">
      <c r="A1367" s="5">
        <v>0</v>
      </c>
      <c r="B1367" s="6" t="s">
        <v>8029</v>
      </c>
      <c r="C1367" s="7">
        <v>1224</v>
      </c>
      <c r="D1367" s="8" t="s">
        <v>8030</v>
      </c>
      <c r="E1367" s="8" t="s">
        <v>8031</v>
      </c>
      <c r="F1367" s="8" t="s">
        <v>8032</v>
      </c>
      <c r="G1367" s="6" t="s">
        <v>81</v>
      </c>
      <c r="H1367" s="6" t="s">
        <v>39</v>
      </c>
      <c r="I1367" s="8" t="s">
        <v>1055</v>
      </c>
      <c r="J1367" s="9">
        <v>1</v>
      </c>
      <c r="K1367" s="9">
        <v>192</v>
      </c>
      <c r="L1367" s="9">
        <v>2025</v>
      </c>
      <c r="M1367" s="8" t="s">
        <v>8033</v>
      </c>
      <c r="N1367" s="8" t="s">
        <v>42</v>
      </c>
      <c r="O1367" s="8" t="s">
        <v>189</v>
      </c>
      <c r="P1367" s="6" t="s">
        <v>1057</v>
      </c>
      <c r="Q1367" s="8" t="s">
        <v>287</v>
      </c>
      <c r="R1367" s="10" t="s">
        <v>3940</v>
      </c>
      <c r="S1367" s="11"/>
      <c r="T1367" s="6"/>
      <c r="U1367" s="24" t="str">
        <f>HYPERLINK("https://media.infra-m.ru/2183/2183787/cover/2183787.jpg", "Обложка")</f>
        <v>Обложка</v>
      </c>
      <c r="V1367" s="24" t="str">
        <f>HYPERLINK("https://znanium.ru/catalog/product/2183787", "Ознакомиться")</f>
        <v>Ознакомиться</v>
      </c>
      <c r="W1367" s="8" t="s">
        <v>207</v>
      </c>
      <c r="X1367" s="6"/>
      <c r="Y1367" s="6"/>
      <c r="Z1367" s="6"/>
      <c r="AA1367" s="6" t="s">
        <v>159</v>
      </c>
      <c r="AB1367" s="8" t="s">
        <v>1101</v>
      </c>
    </row>
    <row r="1368" spans="1:28" s="4" customFormat="1" ht="42" customHeight="1">
      <c r="A1368" s="5">
        <v>0</v>
      </c>
      <c r="B1368" s="6" t="s">
        <v>8034</v>
      </c>
      <c r="C1368" s="7">
        <v>1740</v>
      </c>
      <c r="D1368" s="8" t="s">
        <v>8035</v>
      </c>
      <c r="E1368" s="8" t="s">
        <v>8036</v>
      </c>
      <c r="F1368" s="8" t="s">
        <v>8037</v>
      </c>
      <c r="G1368" s="6" t="s">
        <v>81</v>
      </c>
      <c r="H1368" s="6" t="s">
        <v>39</v>
      </c>
      <c r="I1368" s="8" t="s">
        <v>1055</v>
      </c>
      <c r="J1368" s="9">
        <v>1</v>
      </c>
      <c r="K1368" s="9">
        <v>269</v>
      </c>
      <c r="L1368" s="9">
        <v>2026</v>
      </c>
      <c r="M1368" s="8" t="s">
        <v>8038</v>
      </c>
      <c r="N1368" s="8" t="s">
        <v>54</v>
      </c>
      <c r="O1368" s="8" t="s">
        <v>140</v>
      </c>
      <c r="P1368" s="6" t="s">
        <v>1057</v>
      </c>
      <c r="Q1368" s="8" t="s">
        <v>3884</v>
      </c>
      <c r="R1368" s="10" t="s">
        <v>8039</v>
      </c>
      <c r="S1368" s="11"/>
      <c r="T1368" s="6"/>
      <c r="U1368" s="24" t="str">
        <f>HYPERLINK("https://media.infra-m.ru/2221/2221274/cover/2221274.jpg", "Обложка")</f>
        <v>Обложка</v>
      </c>
      <c r="V1368" s="24" t="str">
        <f>HYPERLINK("https://znanium.ru/catalog/product/2221274", "Ознакомиться")</f>
        <v>Ознакомиться</v>
      </c>
      <c r="W1368" s="8" t="s">
        <v>964</v>
      </c>
      <c r="X1368" s="6"/>
      <c r="Y1368" s="6"/>
      <c r="Z1368" s="6"/>
      <c r="AA1368" s="6" t="s">
        <v>159</v>
      </c>
      <c r="AB1368" s="8"/>
    </row>
    <row r="1369" spans="1:28" s="4" customFormat="1" ht="51.95" customHeight="1">
      <c r="A1369" s="5">
        <v>0</v>
      </c>
      <c r="B1369" s="6" t="s">
        <v>8040</v>
      </c>
      <c r="C1369" s="13">
        <v>996</v>
      </c>
      <c r="D1369" s="8" t="s">
        <v>8041</v>
      </c>
      <c r="E1369" s="8" t="s">
        <v>8042</v>
      </c>
      <c r="F1369" s="8" t="s">
        <v>8043</v>
      </c>
      <c r="G1369" s="6" t="s">
        <v>81</v>
      </c>
      <c r="H1369" s="6" t="s">
        <v>39</v>
      </c>
      <c r="I1369" s="8" t="s">
        <v>40</v>
      </c>
      <c r="J1369" s="9">
        <v>1</v>
      </c>
      <c r="K1369" s="9">
        <v>158</v>
      </c>
      <c r="L1369" s="9">
        <v>2025</v>
      </c>
      <c r="M1369" s="8" t="s">
        <v>8044</v>
      </c>
      <c r="N1369" s="8" t="s">
        <v>220</v>
      </c>
      <c r="O1369" s="8" t="s">
        <v>296</v>
      </c>
      <c r="P1369" s="6" t="s">
        <v>44</v>
      </c>
      <c r="Q1369" s="8" t="s">
        <v>45</v>
      </c>
      <c r="R1369" s="10" t="s">
        <v>8045</v>
      </c>
      <c r="S1369" s="11"/>
      <c r="T1369" s="6"/>
      <c r="U1369" s="24" t="str">
        <f>HYPERLINK("https://media.infra-m.ru/2184/2184265/cover/2184265.jpg", "Обложка")</f>
        <v>Обложка</v>
      </c>
      <c r="V1369" s="24" t="str">
        <f>HYPERLINK("https://znanium.ru/catalog/product/2184265", "Ознакомиться")</f>
        <v>Ознакомиться</v>
      </c>
      <c r="W1369" s="8" t="s">
        <v>8046</v>
      </c>
      <c r="X1369" s="6"/>
      <c r="Y1369" s="6"/>
      <c r="Z1369" s="6"/>
      <c r="AA1369" s="6" t="s">
        <v>369</v>
      </c>
      <c r="AB1369" s="8" t="s">
        <v>653</v>
      </c>
    </row>
    <row r="1370" spans="1:28" s="4" customFormat="1" ht="42" customHeight="1">
      <c r="A1370" s="5">
        <v>0</v>
      </c>
      <c r="B1370" s="6" t="s">
        <v>8047</v>
      </c>
      <c r="C1370" s="13">
        <v>960</v>
      </c>
      <c r="D1370" s="8" t="s">
        <v>8048</v>
      </c>
      <c r="E1370" s="8" t="s">
        <v>8049</v>
      </c>
      <c r="F1370" s="8" t="s">
        <v>8050</v>
      </c>
      <c r="G1370" s="6" t="s">
        <v>38</v>
      </c>
      <c r="H1370" s="6" t="s">
        <v>39</v>
      </c>
      <c r="I1370" s="8" t="s">
        <v>40</v>
      </c>
      <c r="J1370" s="9">
        <v>1</v>
      </c>
      <c r="K1370" s="9">
        <v>204</v>
      </c>
      <c r="L1370" s="9">
        <v>2022</v>
      </c>
      <c r="M1370" s="8" t="s">
        <v>8051</v>
      </c>
      <c r="N1370" s="8" t="s">
        <v>229</v>
      </c>
      <c r="O1370" s="8" t="s">
        <v>230</v>
      </c>
      <c r="P1370" s="6" t="s">
        <v>44</v>
      </c>
      <c r="Q1370" s="8" t="s">
        <v>45</v>
      </c>
      <c r="R1370" s="10" t="s">
        <v>231</v>
      </c>
      <c r="S1370" s="11"/>
      <c r="T1370" s="6"/>
      <c r="U1370" s="24" t="str">
        <f>HYPERLINK("https://media.infra-m.ru/1853/1853838/cover/1853838.jpg", "Обложка")</f>
        <v>Обложка</v>
      </c>
      <c r="V1370" s="24" t="str">
        <f>HYPERLINK("https://znanium.ru/catalog/product/1853838", "Ознакомиться")</f>
        <v>Ознакомиться</v>
      </c>
      <c r="W1370" s="8" t="s">
        <v>191</v>
      </c>
      <c r="X1370" s="6"/>
      <c r="Y1370" s="6"/>
      <c r="Z1370" s="6"/>
      <c r="AA1370" s="6" t="s">
        <v>290</v>
      </c>
      <c r="AB1370" s="8"/>
    </row>
    <row r="1371" spans="1:28" s="4" customFormat="1" ht="51.95" customHeight="1">
      <c r="A1371" s="5">
        <v>0</v>
      </c>
      <c r="B1371" s="6" t="s">
        <v>8052</v>
      </c>
      <c r="C1371" s="7">
        <v>1444.8</v>
      </c>
      <c r="D1371" s="8" t="s">
        <v>8053</v>
      </c>
      <c r="E1371" s="8" t="s">
        <v>8054</v>
      </c>
      <c r="F1371" s="8" t="s">
        <v>8055</v>
      </c>
      <c r="G1371" s="6" t="s">
        <v>132</v>
      </c>
      <c r="H1371" s="6" t="s">
        <v>39</v>
      </c>
      <c r="I1371" s="8" t="s">
        <v>40</v>
      </c>
      <c r="J1371" s="9">
        <v>1</v>
      </c>
      <c r="K1371" s="9">
        <v>210</v>
      </c>
      <c r="L1371" s="9">
        <v>2025</v>
      </c>
      <c r="M1371" s="8" t="s">
        <v>8056</v>
      </c>
      <c r="N1371" s="8" t="s">
        <v>42</v>
      </c>
      <c r="O1371" s="8" t="s">
        <v>101</v>
      </c>
      <c r="P1371" s="6" t="s">
        <v>44</v>
      </c>
      <c r="Q1371" s="8" t="s">
        <v>45</v>
      </c>
      <c r="R1371" s="10" t="s">
        <v>8057</v>
      </c>
      <c r="S1371" s="11"/>
      <c r="T1371" s="6"/>
      <c r="U1371" s="24" t="str">
        <f>HYPERLINK("https://media.infra-m.ru/2226/2226332/cover/2226332.jpg", "Обложка")</f>
        <v>Обложка</v>
      </c>
      <c r="V1371" s="24" t="str">
        <f>HYPERLINK("https://znanium.ru/catalog/product/2208493", "Ознакомиться")</f>
        <v>Ознакомиться</v>
      </c>
      <c r="W1371" s="8" t="s">
        <v>8058</v>
      </c>
      <c r="X1371" s="6"/>
      <c r="Y1371" s="6"/>
      <c r="Z1371" s="6"/>
      <c r="AA1371" s="6" t="s">
        <v>159</v>
      </c>
      <c r="AB1371" s="8"/>
    </row>
    <row r="1372" spans="1:28" s="4" customFormat="1" ht="42" customHeight="1">
      <c r="A1372" s="5">
        <v>0</v>
      </c>
      <c r="B1372" s="6" t="s">
        <v>8059</v>
      </c>
      <c r="C1372" s="7">
        <v>1188</v>
      </c>
      <c r="D1372" s="8" t="s">
        <v>8060</v>
      </c>
      <c r="E1372" s="8" t="s">
        <v>8061</v>
      </c>
      <c r="F1372" s="8" t="s">
        <v>8062</v>
      </c>
      <c r="G1372" s="6" t="s">
        <v>38</v>
      </c>
      <c r="H1372" s="6" t="s">
        <v>39</v>
      </c>
      <c r="I1372" s="8" t="s">
        <v>40</v>
      </c>
      <c r="J1372" s="9">
        <v>1</v>
      </c>
      <c r="K1372" s="9">
        <v>195</v>
      </c>
      <c r="L1372" s="9">
        <v>2023</v>
      </c>
      <c r="M1372" s="8" t="s">
        <v>8063</v>
      </c>
      <c r="N1372" s="8" t="s">
        <v>284</v>
      </c>
      <c r="O1372" s="8" t="s">
        <v>328</v>
      </c>
      <c r="P1372" s="6" t="s">
        <v>44</v>
      </c>
      <c r="Q1372" s="8" t="s">
        <v>45</v>
      </c>
      <c r="R1372" s="10" t="s">
        <v>8064</v>
      </c>
      <c r="S1372" s="11"/>
      <c r="T1372" s="6"/>
      <c r="U1372" s="24" t="str">
        <f>HYPERLINK("https://media.infra-m.ru/1870/1870592/cover/1870592.jpg", "Обложка")</f>
        <v>Обложка</v>
      </c>
      <c r="V1372" s="24" t="str">
        <f>HYPERLINK("https://znanium.ru/catalog/product/1870592", "Ознакомиться")</f>
        <v>Ознакомиться</v>
      </c>
      <c r="W1372" s="8" t="s">
        <v>8065</v>
      </c>
      <c r="X1372" s="6"/>
      <c r="Y1372" s="6"/>
      <c r="Z1372" s="6"/>
      <c r="AA1372" s="6" t="s">
        <v>119</v>
      </c>
      <c r="AB1372" s="8" t="s">
        <v>917</v>
      </c>
    </row>
    <row r="1373" spans="1:28" s="4" customFormat="1" ht="51.95" customHeight="1">
      <c r="A1373" s="5">
        <v>0</v>
      </c>
      <c r="B1373" s="6" t="s">
        <v>8066</v>
      </c>
      <c r="C1373" s="7">
        <v>1212</v>
      </c>
      <c r="D1373" s="8" t="s">
        <v>8067</v>
      </c>
      <c r="E1373" s="8" t="s">
        <v>8068</v>
      </c>
      <c r="F1373" s="8" t="s">
        <v>8069</v>
      </c>
      <c r="G1373" s="6" t="s">
        <v>132</v>
      </c>
      <c r="H1373" s="6" t="s">
        <v>39</v>
      </c>
      <c r="I1373" s="8" t="s">
        <v>40</v>
      </c>
      <c r="J1373" s="9">
        <v>1</v>
      </c>
      <c r="K1373" s="9">
        <v>207</v>
      </c>
      <c r="L1373" s="9">
        <v>2024</v>
      </c>
      <c r="M1373" s="8" t="s">
        <v>8070</v>
      </c>
      <c r="N1373" s="8" t="s">
        <v>284</v>
      </c>
      <c r="O1373" s="8" t="s">
        <v>717</v>
      </c>
      <c r="P1373" s="6" t="s">
        <v>44</v>
      </c>
      <c r="Q1373" s="8" t="s">
        <v>45</v>
      </c>
      <c r="R1373" s="10" t="s">
        <v>8071</v>
      </c>
      <c r="S1373" s="11"/>
      <c r="T1373" s="6"/>
      <c r="U1373" s="24" t="str">
        <f>HYPERLINK("https://media.infra-m.ru/2063/2063441/cover/2063441.jpg", "Обложка")</f>
        <v>Обложка</v>
      </c>
      <c r="V1373" s="24" t="str">
        <f>HYPERLINK("https://znanium.ru/catalog/product/2063441", "Ознакомиться")</f>
        <v>Ознакомиться</v>
      </c>
      <c r="W1373" s="8" t="s">
        <v>8072</v>
      </c>
      <c r="X1373" s="6"/>
      <c r="Y1373" s="6"/>
      <c r="Z1373" s="6"/>
      <c r="AA1373" s="6" t="s">
        <v>58</v>
      </c>
      <c r="AB1373" s="8"/>
    </row>
    <row r="1374" spans="1:28" s="4" customFormat="1" ht="42" customHeight="1">
      <c r="A1374" s="5">
        <v>0</v>
      </c>
      <c r="B1374" s="6" t="s">
        <v>8073</v>
      </c>
      <c r="C1374" s="7">
        <v>1380</v>
      </c>
      <c r="D1374" s="8" t="s">
        <v>8074</v>
      </c>
      <c r="E1374" s="8" t="s">
        <v>8075</v>
      </c>
      <c r="F1374" s="8" t="s">
        <v>8076</v>
      </c>
      <c r="G1374" s="6" t="s">
        <v>38</v>
      </c>
      <c r="H1374" s="6" t="s">
        <v>39</v>
      </c>
      <c r="I1374" s="8" t="s">
        <v>40</v>
      </c>
      <c r="J1374" s="9">
        <v>1</v>
      </c>
      <c r="K1374" s="9">
        <v>217</v>
      </c>
      <c r="L1374" s="9">
        <v>2025</v>
      </c>
      <c r="M1374" s="8" t="s">
        <v>8077</v>
      </c>
      <c r="N1374" s="8" t="s">
        <v>42</v>
      </c>
      <c r="O1374" s="8" t="s">
        <v>43</v>
      </c>
      <c r="P1374" s="6" t="s">
        <v>44</v>
      </c>
      <c r="Q1374" s="8" t="s">
        <v>45</v>
      </c>
      <c r="R1374" s="10" t="s">
        <v>8078</v>
      </c>
      <c r="S1374" s="11"/>
      <c r="T1374" s="6"/>
      <c r="U1374" s="24" t="str">
        <f>HYPERLINK("https://media.infra-m.ru/2150/2150865/cover/2150865.jpg", "Обложка")</f>
        <v>Обложка</v>
      </c>
      <c r="V1374" s="24" t="str">
        <f>HYPERLINK("https://znanium.ru/catalog/product/2150865", "Ознакомиться")</f>
        <v>Ознакомиться</v>
      </c>
      <c r="W1374" s="8" t="s">
        <v>207</v>
      </c>
      <c r="X1374" s="6" t="s">
        <v>558</v>
      </c>
      <c r="Y1374" s="6"/>
      <c r="Z1374" s="6"/>
      <c r="AA1374" s="6" t="s">
        <v>159</v>
      </c>
      <c r="AB1374" s="8"/>
    </row>
    <row r="1375" spans="1:28" s="4" customFormat="1" ht="42" customHeight="1">
      <c r="A1375" s="5">
        <v>0</v>
      </c>
      <c r="B1375" s="6" t="s">
        <v>8079</v>
      </c>
      <c r="C1375" s="13">
        <v>828</v>
      </c>
      <c r="D1375" s="8" t="s">
        <v>8080</v>
      </c>
      <c r="E1375" s="8" t="s">
        <v>8081</v>
      </c>
      <c r="F1375" s="8" t="s">
        <v>8082</v>
      </c>
      <c r="G1375" s="6" t="s">
        <v>38</v>
      </c>
      <c r="H1375" s="6" t="s">
        <v>39</v>
      </c>
      <c r="I1375" s="8" t="s">
        <v>40</v>
      </c>
      <c r="J1375" s="9">
        <v>1</v>
      </c>
      <c r="K1375" s="9">
        <v>148</v>
      </c>
      <c r="L1375" s="9">
        <v>2024</v>
      </c>
      <c r="M1375" s="8" t="s">
        <v>8083</v>
      </c>
      <c r="N1375" s="8" t="s">
        <v>42</v>
      </c>
      <c r="O1375" s="8" t="s">
        <v>246</v>
      </c>
      <c r="P1375" s="6" t="s">
        <v>44</v>
      </c>
      <c r="Q1375" s="8" t="s">
        <v>45</v>
      </c>
      <c r="R1375" s="10" t="s">
        <v>8084</v>
      </c>
      <c r="S1375" s="11"/>
      <c r="T1375" s="6"/>
      <c r="U1375" s="24" t="str">
        <f>HYPERLINK("https://media.infra-m.ru/2110/2110040/cover/2110040.jpg", "Обложка")</f>
        <v>Обложка</v>
      </c>
      <c r="V1375" s="24" t="str">
        <f>HYPERLINK("https://znanium.ru/catalog/product/2110040", "Ознакомиться")</f>
        <v>Ознакомиться</v>
      </c>
      <c r="W1375" s="8" t="s">
        <v>1049</v>
      </c>
      <c r="X1375" s="6"/>
      <c r="Y1375" s="6"/>
      <c r="Z1375" s="6"/>
      <c r="AA1375" s="6" t="s">
        <v>290</v>
      </c>
      <c r="AB1375" s="8"/>
    </row>
    <row r="1376" spans="1:28" s="4" customFormat="1" ht="42" customHeight="1">
      <c r="A1376" s="5">
        <v>0</v>
      </c>
      <c r="B1376" s="6" t="s">
        <v>8085</v>
      </c>
      <c r="C1376" s="13">
        <v>708</v>
      </c>
      <c r="D1376" s="8" t="s">
        <v>8086</v>
      </c>
      <c r="E1376" s="8" t="s">
        <v>8087</v>
      </c>
      <c r="F1376" s="8" t="s">
        <v>8088</v>
      </c>
      <c r="G1376" s="6" t="s">
        <v>38</v>
      </c>
      <c r="H1376" s="6" t="s">
        <v>39</v>
      </c>
      <c r="I1376" s="8" t="s">
        <v>40</v>
      </c>
      <c r="J1376" s="9">
        <v>1</v>
      </c>
      <c r="K1376" s="9">
        <v>128</v>
      </c>
      <c r="L1376" s="9">
        <v>2024</v>
      </c>
      <c r="M1376" s="8" t="s">
        <v>8089</v>
      </c>
      <c r="N1376" s="8" t="s">
        <v>229</v>
      </c>
      <c r="O1376" s="8" t="s">
        <v>230</v>
      </c>
      <c r="P1376" s="6" t="s">
        <v>44</v>
      </c>
      <c r="Q1376" s="8" t="s">
        <v>45</v>
      </c>
      <c r="R1376" s="10" t="s">
        <v>3411</v>
      </c>
      <c r="S1376" s="11"/>
      <c r="T1376" s="6"/>
      <c r="U1376" s="24" t="str">
        <f>HYPERLINK("https://media.infra-m.ru/2086/2086852/cover/2086852.jpg", "Обложка")</f>
        <v>Обложка</v>
      </c>
      <c r="V1376" s="24" t="str">
        <f>HYPERLINK("https://znanium.ru/catalog/product/2086852", "Ознакомиться")</f>
        <v>Ознакомиться</v>
      </c>
      <c r="W1376" s="8" t="s">
        <v>8090</v>
      </c>
      <c r="X1376" s="6"/>
      <c r="Y1376" s="6"/>
      <c r="Z1376" s="6"/>
      <c r="AA1376" s="6" t="s">
        <v>369</v>
      </c>
      <c r="AB1376" s="8"/>
    </row>
    <row r="1377" spans="1:28" s="4" customFormat="1" ht="44.1" customHeight="1">
      <c r="A1377" s="5">
        <v>0</v>
      </c>
      <c r="B1377" s="6" t="s">
        <v>8091</v>
      </c>
      <c r="C1377" s="7">
        <v>1288.8</v>
      </c>
      <c r="D1377" s="8" t="s">
        <v>8092</v>
      </c>
      <c r="E1377" s="8" t="s">
        <v>8093</v>
      </c>
      <c r="F1377" s="8" t="s">
        <v>8094</v>
      </c>
      <c r="G1377" s="6" t="s">
        <v>38</v>
      </c>
      <c r="H1377" s="6" t="s">
        <v>39</v>
      </c>
      <c r="I1377" s="8" t="s">
        <v>40</v>
      </c>
      <c r="J1377" s="9">
        <v>1</v>
      </c>
      <c r="K1377" s="9">
        <v>215</v>
      </c>
      <c r="L1377" s="9">
        <v>2024</v>
      </c>
      <c r="M1377" s="8" t="s">
        <v>8095</v>
      </c>
      <c r="N1377" s="8" t="s">
        <v>229</v>
      </c>
      <c r="O1377" s="8" t="s">
        <v>230</v>
      </c>
      <c r="P1377" s="6" t="s">
        <v>44</v>
      </c>
      <c r="Q1377" s="8" t="s">
        <v>45</v>
      </c>
      <c r="R1377" s="10" t="s">
        <v>8096</v>
      </c>
      <c r="S1377" s="11"/>
      <c r="T1377" s="6"/>
      <c r="U1377" s="24" t="str">
        <f>HYPERLINK("https://media.infra-m.ru/2159/2159181/cover/2159181.jpg", "Обложка")</f>
        <v>Обложка</v>
      </c>
      <c r="V1377" s="24" t="str">
        <f>HYPERLINK("https://znanium.ru/catalog/product/1853445", "Ознакомиться")</f>
        <v>Ознакомиться</v>
      </c>
      <c r="W1377" s="8" t="s">
        <v>491</v>
      </c>
      <c r="X1377" s="6"/>
      <c r="Y1377" s="6"/>
      <c r="Z1377" s="6"/>
      <c r="AA1377" s="6" t="s">
        <v>199</v>
      </c>
      <c r="AB1377" s="8"/>
    </row>
    <row r="1378" spans="1:28" s="4" customFormat="1" ht="42" customHeight="1">
      <c r="A1378" s="5">
        <v>0</v>
      </c>
      <c r="B1378" s="6" t="s">
        <v>8097</v>
      </c>
      <c r="C1378" s="7">
        <v>1132.8</v>
      </c>
      <c r="D1378" s="8" t="s">
        <v>8098</v>
      </c>
      <c r="E1378" s="8" t="s">
        <v>8099</v>
      </c>
      <c r="F1378" s="8" t="s">
        <v>8100</v>
      </c>
      <c r="G1378" s="6" t="s">
        <v>38</v>
      </c>
      <c r="H1378" s="6" t="s">
        <v>39</v>
      </c>
      <c r="I1378" s="8" t="s">
        <v>40</v>
      </c>
      <c r="J1378" s="9">
        <v>1</v>
      </c>
      <c r="K1378" s="9">
        <v>188</v>
      </c>
      <c r="L1378" s="9">
        <v>2025</v>
      </c>
      <c r="M1378" s="8" t="s">
        <v>8101</v>
      </c>
      <c r="N1378" s="8" t="s">
        <v>42</v>
      </c>
      <c r="O1378" s="8" t="s">
        <v>101</v>
      </c>
      <c r="P1378" s="6" t="s">
        <v>44</v>
      </c>
      <c r="Q1378" s="8" t="s">
        <v>45</v>
      </c>
      <c r="R1378" s="10" t="s">
        <v>2490</v>
      </c>
      <c r="S1378" s="11"/>
      <c r="T1378" s="6"/>
      <c r="U1378" s="24" t="str">
        <f>HYPERLINK("https://media.infra-m.ru/2161/2161470/cover/2161470.jpg", "Обложка")</f>
        <v>Обложка</v>
      </c>
      <c r="V1378" s="24" t="str">
        <f>HYPERLINK("https://znanium.ru/catalog/product/1928401", "Ознакомиться")</f>
        <v>Ознакомиться</v>
      </c>
      <c r="W1378" s="8" t="s">
        <v>3519</v>
      </c>
      <c r="X1378" s="6"/>
      <c r="Y1378" s="6"/>
      <c r="Z1378" s="6"/>
      <c r="AA1378" s="6" t="s">
        <v>199</v>
      </c>
      <c r="AB1378" s="8"/>
    </row>
    <row r="1379" spans="1:28" s="4" customFormat="1" ht="51.95" customHeight="1">
      <c r="A1379" s="5">
        <v>0</v>
      </c>
      <c r="B1379" s="6" t="s">
        <v>8102</v>
      </c>
      <c r="C1379" s="13">
        <v>960</v>
      </c>
      <c r="D1379" s="8" t="s">
        <v>8103</v>
      </c>
      <c r="E1379" s="8" t="s">
        <v>8104</v>
      </c>
      <c r="F1379" s="8" t="s">
        <v>8105</v>
      </c>
      <c r="G1379" s="6" t="s">
        <v>38</v>
      </c>
      <c r="H1379" s="6" t="s">
        <v>39</v>
      </c>
      <c r="I1379" s="8" t="s">
        <v>40</v>
      </c>
      <c r="J1379" s="9">
        <v>1</v>
      </c>
      <c r="K1379" s="9">
        <v>168</v>
      </c>
      <c r="L1379" s="9">
        <v>2024</v>
      </c>
      <c r="M1379" s="8" t="s">
        <v>8106</v>
      </c>
      <c r="N1379" s="8" t="s">
        <v>42</v>
      </c>
      <c r="O1379" s="8" t="s">
        <v>101</v>
      </c>
      <c r="P1379" s="6" t="s">
        <v>44</v>
      </c>
      <c r="Q1379" s="8" t="s">
        <v>45</v>
      </c>
      <c r="R1379" s="10" t="s">
        <v>8107</v>
      </c>
      <c r="S1379" s="11"/>
      <c r="T1379" s="6"/>
      <c r="U1379" s="24" t="str">
        <f>HYPERLINK("https://media.infra-m.ru/2030/2030750/cover/2030750.jpg", "Обложка")</f>
        <v>Обложка</v>
      </c>
      <c r="V1379" s="24" t="str">
        <f>HYPERLINK("https://znanium.ru/catalog/product/2030750", "Ознакомиться")</f>
        <v>Ознакомиться</v>
      </c>
      <c r="W1379" s="8" t="s">
        <v>8108</v>
      </c>
      <c r="X1379" s="6"/>
      <c r="Y1379" s="6"/>
      <c r="Z1379" s="6"/>
      <c r="AA1379" s="6" t="s">
        <v>58</v>
      </c>
      <c r="AB1379" s="8"/>
    </row>
    <row r="1380" spans="1:28" s="4" customFormat="1" ht="42" customHeight="1">
      <c r="A1380" s="5">
        <v>0</v>
      </c>
      <c r="B1380" s="6" t="s">
        <v>8109</v>
      </c>
      <c r="C1380" s="7">
        <v>1438.8</v>
      </c>
      <c r="D1380" s="8" t="s">
        <v>8110</v>
      </c>
      <c r="E1380" s="8" t="s">
        <v>8111</v>
      </c>
      <c r="F1380" s="8" t="s">
        <v>7500</v>
      </c>
      <c r="G1380" s="6" t="s">
        <v>81</v>
      </c>
      <c r="H1380" s="6" t="s">
        <v>39</v>
      </c>
      <c r="I1380" s="8" t="s">
        <v>40</v>
      </c>
      <c r="J1380" s="9">
        <v>1</v>
      </c>
      <c r="K1380" s="9">
        <v>191</v>
      </c>
      <c r="L1380" s="9">
        <v>2025</v>
      </c>
      <c r="M1380" s="8" t="s">
        <v>8112</v>
      </c>
      <c r="N1380" s="8" t="s">
        <v>284</v>
      </c>
      <c r="O1380" s="8" t="s">
        <v>717</v>
      </c>
      <c r="P1380" s="6" t="s">
        <v>44</v>
      </c>
      <c r="Q1380" s="8" t="s">
        <v>45</v>
      </c>
      <c r="R1380" s="10" t="s">
        <v>1684</v>
      </c>
      <c r="S1380" s="11"/>
      <c r="T1380" s="6"/>
      <c r="U1380" s="24" t="str">
        <f>HYPERLINK("https://media.infra-m.ru/2205/2205606/cover/2205606.jpg", "Обложка")</f>
        <v>Обложка</v>
      </c>
      <c r="V1380" s="24" t="str">
        <f>HYPERLINK("https://znanium.ru/catalog/product/2205606", "Ознакомиться")</f>
        <v>Ознакомиться</v>
      </c>
      <c r="W1380" s="8" t="s">
        <v>3530</v>
      </c>
      <c r="X1380" s="6"/>
      <c r="Y1380" s="6"/>
      <c r="Z1380" s="6"/>
      <c r="AA1380" s="6" t="s">
        <v>76</v>
      </c>
      <c r="AB1380" s="8"/>
    </row>
    <row r="1381" spans="1:28" s="4" customFormat="1" ht="42" customHeight="1">
      <c r="A1381" s="5">
        <v>0</v>
      </c>
      <c r="B1381" s="6" t="s">
        <v>8113</v>
      </c>
      <c r="C1381" s="7">
        <v>1644</v>
      </c>
      <c r="D1381" s="8" t="s">
        <v>8114</v>
      </c>
      <c r="E1381" s="8" t="s">
        <v>8115</v>
      </c>
      <c r="F1381" s="8" t="s">
        <v>7500</v>
      </c>
      <c r="G1381" s="6" t="s">
        <v>81</v>
      </c>
      <c r="H1381" s="6" t="s">
        <v>39</v>
      </c>
      <c r="I1381" s="8" t="s">
        <v>40</v>
      </c>
      <c r="J1381" s="9">
        <v>1</v>
      </c>
      <c r="K1381" s="9">
        <v>263</v>
      </c>
      <c r="L1381" s="9">
        <v>2025</v>
      </c>
      <c r="M1381" s="8" t="s">
        <v>8116</v>
      </c>
      <c r="N1381" s="8" t="s">
        <v>284</v>
      </c>
      <c r="O1381" s="8" t="s">
        <v>717</v>
      </c>
      <c r="P1381" s="6" t="s">
        <v>44</v>
      </c>
      <c r="Q1381" s="8" t="s">
        <v>45</v>
      </c>
      <c r="R1381" s="10" t="s">
        <v>718</v>
      </c>
      <c r="S1381" s="11"/>
      <c r="T1381" s="6"/>
      <c r="U1381" s="24" t="str">
        <f>HYPERLINK("https://media.infra-m.ru/2197/2197031/cover/2197031.jpg", "Обложка")</f>
        <v>Обложка</v>
      </c>
      <c r="V1381" s="24" t="str">
        <f>HYPERLINK("https://znanium.ru/catalog/product/2197031", "Ознакомиться")</f>
        <v>Ознакомиться</v>
      </c>
      <c r="W1381" s="8" t="s">
        <v>3530</v>
      </c>
      <c r="X1381" s="6"/>
      <c r="Y1381" s="6"/>
      <c r="Z1381" s="6"/>
      <c r="AA1381" s="6" t="s">
        <v>76</v>
      </c>
      <c r="AB1381" s="8"/>
    </row>
    <row r="1382" spans="1:28" s="4" customFormat="1" ht="51.95" customHeight="1">
      <c r="A1382" s="5">
        <v>0</v>
      </c>
      <c r="B1382" s="6" t="s">
        <v>8117</v>
      </c>
      <c r="C1382" s="7">
        <v>1336.8</v>
      </c>
      <c r="D1382" s="8" t="s">
        <v>8118</v>
      </c>
      <c r="E1382" s="8" t="s">
        <v>8119</v>
      </c>
      <c r="F1382" s="8" t="s">
        <v>8120</v>
      </c>
      <c r="G1382" s="6" t="s">
        <v>38</v>
      </c>
      <c r="H1382" s="6" t="s">
        <v>39</v>
      </c>
      <c r="I1382" s="8" t="s">
        <v>40</v>
      </c>
      <c r="J1382" s="9">
        <v>1</v>
      </c>
      <c r="K1382" s="9">
        <v>219</v>
      </c>
      <c r="L1382" s="9">
        <v>2025</v>
      </c>
      <c r="M1382" s="8" t="s">
        <v>8121</v>
      </c>
      <c r="N1382" s="8" t="s">
        <v>42</v>
      </c>
      <c r="O1382" s="8" t="s">
        <v>101</v>
      </c>
      <c r="P1382" s="6" t="s">
        <v>44</v>
      </c>
      <c r="Q1382" s="8" t="s">
        <v>45</v>
      </c>
      <c r="R1382" s="10" t="s">
        <v>8122</v>
      </c>
      <c r="S1382" s="11"/>
      <c r="T1382" s="6"/>
      <c r="U1382" s="24" t="str">
        <f>HYPERLINK("https://media.infra-m.ru/2164/2164027/cover/2164027.jpg", "Обложка")</f>
        <v>Обложка</v>
      </c>
      <c r="V1382" s="24" t="str">
        <f>HYPERLINK("https://znanium.ru/catalog/product/2079650", "Ознакомиться")</f>
        <v>Ознакомиться</v>
      </c>
      <c r="W1382" s="8" t="s">
        <v>3519</v>
      </c>
      <c r="X1382" s="6"/>
      <c r="Y1382" s="6"/>
      <c r="Z1382" s="6"/>
      <c r="AA1382" s="6" t="s">
        <v>111</v>
      </c>
      <c r="AB1382" s="8"/>
    </row>
    <row r="1383" spans="1:28" s="4" customFormat="1" ht="51.95" customHeight="1">
      <c r="A1383" s="5">
        <v>0</v>
      </c>
      <c r="B1383" s="6" t="s">
        <v>8123</v>
      </c>
      <c r="C1383" s="7">
        <v>1236</v>
      </c>
      <c r="D1383" s="8" t="s">
        <v>8124</v>
      </c>
      <c r="E1383" s="8" t="s">
        <v>8125</v>
      </c>
      <c r="F1383" s="8" t="s">
        <v>211</v>
      </c>
      <c r="G1383" s="6" t="s">
        <v>132</v>
      </c>
      <c r="H1383" s="6" t="s">
        <v>39</v>
      </c>
      <c r="I1383" s="8" t="s">
        <v>40</v>
      </c>
      <c r="J1383" s="9">
        <v>1</v>
      </c>
      <c r="K1383" s="9">
        <v>211</v>
      </c>
      <c r="L1383" s="9">
        <v>2024</v>
      </c>
      <c r="M1383" s="8" t="s">
        <v>8126</v>
      </c>
      <c r="N1383" s="8" t="s">
        <v>54</v>
      </c>
      <c r="O1383" s="8" t="s">
        <v>91</v>
      </c>
      <c r="P1383" s="6" t="s">
        <v>44</v>
      </c>
      <c r="Q1383" s="8" t="s">
        <v>45</v>
      </c>
      <c r="R1383" s="10" t="s">
        <v>8127</v>
      </c>
      <c r="S1383" s="11"/>
      <c r="T1383" s="6"/>
      <c r="U1383" s="24" t="str">
        <f>HYPERLINK("https://media.infra-m.ru/2116/2116144/cover/2116144.jpg", "Обложка")</f>
        <v>Обложка</v>
      </c>
      <c r="V1383" s="24" t="str">
        <f>HYPERLINK("https://znanium.ru/catalog/product/2116144", "Ознакомиться")</f>
        <v>Ознакомиться</v>
      </c>
      <c r="W1383" s="8" t="s">
        <v>214</v>
      </c>
      <c r="X1383" s="6"/>
      <c r="Y1383" s="6"/>
      <c r="Z1383" s="6"/>
      <c r="AA1383" s="6" t="s">
        <v>58</v>
      </c>
      <c r="AB1383" s="8"/>
    </row>
    <row r="1384" spans="1:28" s="4" customFormat="1" ht="51.95" customHeight="1">
      <c r="A1384" s="5">
        <v>0</v>
      </c>
      <c r="B1384" s="6" t="s">
        <v>8128</v>
      </c>
      <c r="C1384" s="13">
        <v>904.8</v>
      </c>
      <c r="D1384" s="8" t="s">
        <v>8129</v>
      </c>
      <c r="E1384" s="8" t="s">
        <v>8130</v>
      </c>
      <c r="F1384" s="8" t="s">
        <v>8131</v>
      </c>
      <c r="G1384" s="6" t="s">
        <v>38</v>
      </c>
      <c r="H1384" s="6" t="s">
        <v>99</v>
      </c>
      <c r="I1384" s="8"/>
      <c r="J1384" s="9">
        <v>1</v>
      </c>
      <c r="K1384" s="9">
        <v>144</v>
      </c>
      <c r="L1384" s="9">
        <v>2025</v>
      </c>
      <c r="M1384" s="8" t="s">
        <v>8132</v>
      </c>
      <c r="N1384" s="8" t="s">
        <v>42</v>
      </c>
      <c r="O1384" s="8" t="s">
        <v>101</v>
      </c>
      <c r="P1384" s="6" t="s">
        <v>44</v>
      </c>
      <c r="Q1384" s="8" t="s">
        <v>8133</v>
      </c>
      <c r="R1384" s="10" t="s">
        <v>8134</v>
      </c>
      <c r="S1384" s="11"/>
      <c r="T1384" s="6"/>
      <c r="U1384" s="24" t="str">
        <f>HYPERLINK("https://media.infra-m.ru/2192/2192442/cover/2192442.jpg", "Обложка")</f>
        <v>Обложка</v>
      </c>
      <c r="V1384" s="24" t="str">
        <f>HYPERLINK("https://znanium.ru/catalog/product/1874021", "Ознакомиться")</f>
        <v>Ознакомиться</v>
      </c>
      <c r="W1384" s="8" t="s">
        <v>565</v>
      </c>
      <c r="X1384" s="6"/>
      <c r="Y1384" s="6"/>
      <c r="Z1384" s="6"/>
      <c r="AA1384" s="6" t="s">
        <v>339</v>
      </c>
      <c r="AB1384" s="8"/>
    </row>
    <row r="1385" spans="1:28" s="4" customFormat="1" ht="44.1" customHeight="1">
      <c r="A1385" s="5">
        <v>0</v>
      </c>
      <c r="B1385" s="6" t="s">
        <v>8135</v>
      </c>
      <c r="C1385" s="7">
        <v>1380</v>
      </c>
      <c r="D1385" s="8" t="s">
        <v>8136</v>
      </c>
      <c r="E1385" s="8" t="s">
        <v>8137</v>
      </c>
      <c r="F1385" s="8" t="s">
        <v>8138</v>
      </c>
      <c r="G1385" s="6" t="s">
        <v>38</v>
      </c>
      <c r="H1385" s="6" t="s">
        <v>39</v>
      </c>
      <c r="I1385" s="8" t="s">
        <v>40</v>
      </c>
      <c r="J1385" s="9">
        <v>1</v>
      </c>
      <c r="K1385" s="9">
        <v>229</v>
      </c>
      <c r="L1385" s="9">
        <v>2025</v>
      </c>
      <c r="M1385" s="8" t="s">
        <v>8139</v>
      </c>
      <c r="N1385" s="8" t="s">
        <v>42</v>
      </c>
      <c r="O1385" s="8" t="s">
        <v>101</v>
      </c>
      <c r="P1385" s="6" t="s">
        <v>44</v>
      </c>
      <c r="Q1385" s="8" t="s">
        <v>45</v>
      </c>
      <c r="R1385" s="10" t="s">
        <v>8140</v>
      </c>
      <c r="S1385" s="11"/>
      <c r="T1385" s="6"/>
      <c r="U1385" s="24" t="str">
        <f>HYPERLINK("https://media.infra-m.ru/2168/2168871/cover/2168871.jpg", "Обложка")</f>
        <v>Обложка</v>
      </c>
      <c r="V1385" s="24" t="str">
        <f>HYPERLINK("https://znanium.ru/catalog/product/2168871", "Ознакомиться")</f>
        <v>Ознакомиться</v>
      </c>
      <c r="W1385" s="8" t="s">
        <v>191</v>
      </c>
      <c r="X1385" s="6"/>
      <c r="Y1385" s="6"/>
      <c r="Z1385" s="6"/>
      <c r="AA1385" s="6" t="s">
        <v>290</v>
      </c>
      <c r="AB1385" s="8"/>
    </row>
    <row r="1386" spans="1:28" s="4" customFormat="1" ht="42" customHeight="1">
      <c r="A1386" s="5">
        <v>0</v>
      </c>
      <c r="B1386" s="6" t="s">
        <v>8141</v>
      </c>
      <c r="C1386" s="7">
        <v>1768.8</v>
      </c>
      <c r="D1386" s="8" t="s">
        <v>8142</v>
      </c>
      <c r="E1386" s="8" t="s">
        <v>8143</v>
      </c>
      <c r="F1386" s="8" t="s">
        <v>8144</v>
      </c>
      <c r="G1386" s="6" t="s">
        <v>132</v>
      </c>
      <c r="H1386" s="6" t="s">
        <v>326</v>
      </c>
      <c r="I1386" s="8" t="s">
        <v>4102</v>
      </c>
      <c r="J1386" s="9">
        <v>1</v>
      </c>
      <c r="K1386" s="9">
        <v>320</v>
      </c>
      <c r="L1386" s="9">
        <v>2024</v>
      </c>
      <c r="M1386" s="8" t="s">
        <v>8145</v>
      </c>
      <c r="N1386" s="8" t="s">
        <v>42</v>
      </c>
      <c r="O1386" s="8" t="s">
        <v>43</v>
      </c>
      <c r="P1386" s="6" t="s">
        <v>415</v>
      </c>
      <c r="Q1386" s="8" t="s">
        <v>416</v>
      </c>
      <c r="R1386" s="10" t="s">
        <v>8146</v>
      </c>
      <c r="S1386" s="11"/>
      <c r="T1386" s="6"/>
      <c r="U1386" s="24" t="str">
        <f>HYPERLINK("https://media.infra-m.ru/2017/2017244/cover/2017244.jpg", "Обложка")</f>
        <v>Обложка</v>
      </c>
      <c r="V1386" s="24" t="str">
        <f>HYPERLINK("https://znanium.ru/catalog/product/1841420", "Ознакомиться")</f>
        <v>Ознакомиться</v>
      </c>
      <c r="W1386" s="8" t="s">
        <v>1529</v>
      </c>
      <c r="X1386" s="6"/>
      <c r="Y1386" s="6"/>
      <c r="Z1386" s="6"/>
      <c r="AA1386" s="6" t="s">
        <v>94</v>
      </c>
      <c r="AB1386" s="8"/>
    </row>
    <row r="1387" spans="1:28" s="4" customFormat="1" ht="42" customHeight="1">
      <c r="A1387" s="5">
        <v>0</v>
      </c>
      <c r="B1387" s="6" t="s">
        <v>8147</v>
      </c>
      <c r="C1387" s="7">
        <v>1782</v>
      </c>
      <c r="D1387" s="8" t="s">
        <v>8148</v>
      </c>
      <c r="E1387" s="8" t="s">
        <v>8149</v>
      </c>
      <c r="F1387" s="8" t="s">
        <v>8150</v>
      </c>
      <c r="G1387" s="6" t="s">
        <v>132</v>
      </c>
      <c r="H1387" s="6" t="s">
        <v>99</v>
      </c>
      <c r="I1387" s="8"/>
      <c r="J1387" s="9">
        <v>1</v>
      </c>
      <c r="K1387" s="9">
        <v>220</v>
      </c>
      <c r="L1387" s="9">
        <v>2024</v>
      </c>
      <c r="M1387" s="8" t="s">
        <v>8151</v>
      </c>
      <c r="N1387" s="8" t="s">
        <v>42</v>
      </c>
      <c r="O1387" s="8" t="s">
        <v>101</v>
      </c>
      <c r="P1387" s="6" t="s">
        <v>44</v>
      </c>
      <c r="Q1387" s="8"/>
      <c r="R1387" s="10" t="s">
        <v>8152</v>
      </c>
      <c r="S1387" s="11"/>
      <c r="T1387" s="6"/>
      <c r="U1387" s="24" t="str">
        <f>HYPERLINK("https://media.infra-m.ru/2165/2165288/cover/2165288.jpg", "Обложка")</f>
        <v>Обложка</v>
      </c>
      <c r="V1387" s="24" t="str">
        <f>HYPERLINK("https://znanium.ru/catalog/product/2152156", "Ознакомиться")</f>
        <v>Ознакомиться</v>
      </c>
      <c r="W1387" s="8" t="s">
        <v>4859</v>
      </c>
      <c r="X1387" s="6"/>
      <c r="Y1387" s="6"/>
      <c r="Z1387" s="6"/>
      <c r="AA1387" s="6" t="s">
        <v>58</v>
      </c>
      <c r="AB1387" s="8"/>
    </row>
    <row r="1388" spans="1:28" s="4" customFormat="1" ht="44.1" customHeight="1">
      <c r="A1388" s="5">
        <v>0</v>
      </c>
      <c r="B1388" s="6" t="s">
        <v>8153</v>
      </c>
      <c r="C1388" s="13">
        <v>960</v>
      </c>
      <c r="D1388" s="8" t="s">
        <v>8154</v>
      </c>
      <c r="E1388" s="8" t="s">
        <v>8155</v>
      </c>
      <c r="F1388" s="8" t="s">
        <v>8156</v>
      </c>
      <c r="G1388" s="6" t="s">
        <v>81</v>
      </c>
      <c r="H1388" s="6" t="s">
        <v>39</v>
      </c>
      <c r="I1388" s="8" t="s">
        <v>336</v>
      </c>
      <c r="J1388" s="9">
        <v>1</v>
      </c>
      <c r="K1388" s="9">
        <v>234</v>
      </c>
      <c r="L1388" s="9">
        <v>2022</v>
      </c>
      <c r="M1388" s="8" t="s">
        <v>8157</v>
      </c>
      <c r="N1388" s="8" t="s">
        <v>42</v>
      </c>
      <c r="O1388" s="8" t="s">
        <v>101</v>
      </c>
      <c r="P1388" s="6" t="s">
        <v>44</v>
      </c>
      <c r="Q1388" s="8" t="s">
        <v>1152</v>
      </c>
      <c r="R1388" s="10" t="s">
        <v>2490</v>
      </c>
      <c r="S1388" s="11"/>
      <c r="T1388" s="6"/>
      <c r="U1388" s="24" t="str">
        <f>HYPERLINK("https://media.infra-m.ru/1740/1740082/cover/1740082.jpg", "Обложка")</f>
        <v>Обложка</v>
      </c>
      <c r="V1388" s="24" t="str">
        <f>HYPERLINK("https://znanium.ru/catalog/product/1740082", "Ознакомиться")</f>
        <v>Ознакомиться</v>
      </c>
      <c r="W1388" s="8" t="s">
        <v>103</v>
      </c>
      <c r="X1388" s="6"/>
      <c r="Y1388" s="6"/>
      <c r="Z1388" s="6"/>
      <c r="AA1388" s="6" t="s">
        <v>377</v>
      </c>
      <c r="AB1388" s="8"/>
    </row>
    <row r="1389" spans="1:28" s="4" customFormat="1" ht="42" customHeight="1">
      <c r="A1389" s="5">
        <v>0</v>
      </c>
      <c r="B1389" s="6" t="s">
        <v>8158</v>
      </c>
      <c r="C1389" s="7">
        <v>1649.9</v>
      </c>
      <c r="D1389" s="8" t="s">
        <v>8159</v>
      </c>
      <c r="E1389" s="8" t="s">
        <v>8160</v>
      </c>
      <c r="F1389" s="8" t="s">
        <v>8161</v>
      </c>
      <c r="G1389" s="6" t="s">
        <v>132</v>
      </c>
      <c r="H1389" s="6" t="s">
        <v>99</v>
      </c>
      <c r="I1389" s="8"/>
      <c r="J1389" s="9">
        <v>1</v>
      </c>
      <c r="K1389" s="9">
        <v>352</v>
      </c>
      <c r="L1389" s="9">
        <v>2022</v>
      </c>
      <c r="M1389" s="8" t="s">
        <v>8162</v>
      </c>
      <c r="N1389" s="8" t="s">
        <v>42</v>
      </c>
      <c r="O1389" s="8" t="s">
        <v>65</v>
      </c>
      <c r="P1389" s="6" t="s">
        <v>44</v>
      </c>
      <c r="Q1389" s="8" t="s">
        <v>45</v>
      </c>
      <c r="R1389" s="10" t="s">
        <v>8163</v>
      </c>
      <c r="S1389" s="11"/>
      <c r="T1389" s="6"/>
      <c r="U1389" s="24" t="str">
        <f>HYPERLINK("https://media.infra-m.ru/1850/1850688/cover/1850688.jpg", "Обложка")</f>
        <v>Обложка</v>
      </c>
      <c r="V1389" s="24" t="str">
        <f>HYPERLINK("https://znanium.ru/catalog/product/1850688", "Ознакомиться")</f>
        <v>Ознакомиться</v>
      </c>
      <c r="W1389" s="8" t="s">
        <v>2892</v>
      </c>
      <c r="X1389" s="6"/>
      <c r="Y1389" s="6"/>
      <c r="Z1389" s="6"/>
      <c r="AA1389" s="6" t="s">
        <v>290</v>
      </c>
      <c r="AB1389" s="8"/>
    </row>
    <row r="1390" spans="1:28" s="4" customFormat="1" ht="42" customHeight="1">
      <c r="A1390" s="5">
        <v>0</v>
      </c>
      <c r="B1390" s="6" t="s">
        <v>8164</v>
      </c>
      <c r="C1390" s="13">
        <v>864</v>
      </c>
      <c r="D1390" s="8" t="s">
        <v>8165</v>
      </c>
      <c r="E1390" s="8" t="s">
        <v>8166</v>
      </c>
      <c r="F1390" s="8" t="s">
        <v>8167</v>
      </c>
      <c r="G1390" s="6" t="s">
        <v>38</v>
      </c>
      <c r="H1390" s="6" t="s">
        <v>39</v>
      </c>
      <c r="I1390" s="8" t="s">
        <v>344</v>
      </c>
      <c r="J1390" s="9">
        <v>1</v>
      </c>
      <c r="K1390" s="9">
        <v>131</v>
      </c>
      <c r="L1390" s="9">
        <v>2025</v>
      </c>
      <c r="M1390" s="8" t="s">
        <v>8168</v>
      </c>
      <c r="N1390" s="8" t="s">
        <v>284</v>
      </c>
      <c r="O1390" s="8" t="s">
        <v>285</v>
      </c>
      <c r="P1390" s="6" t="s">
        <v>44</v>
      </c>
      <c r="Q1390" s="8" t="s">
        <v>45</v>
      </c>
      <c r="R1390" s="10" t="s">
        <v>8169</v>
      </c>
      <c r="S1390" s="11"/>
      <c r="T1390" s="6"/>
      <c r="U1390" s="24" t="str">
        <f>HYPERLINK("https://media.infra-m.ru/2186/2186409/cover/2186409.jpg", "Обложка")</f>
        <v>Обложка</v>
      </c>
      <c r="V1390" s="12"/>
      <c r="W1390" s="8"/>
      <c r="X1390" s="6"/>
      <c r="Y1390" s="6"/>
      <c r="Z1390" s="6"/>
      <c r="AA1390" s="6" t="s">
        <v>111</v>
      </c>
      <c r="AB1390" s="8"/>
    </row>
    <row r="1391" spans="1:28" s="4" customFormat="1" ht="42" customHeight="1">
      <c r="A1391" s="5">
        <v>0</v>
      </c>
      <c r="B1391" s="6" t="s">
        <v>8170</v>
      </c>
      <c r="C1391" s="7">
        <v>2128.8000000000002</v>
      </c>
      <c r="D1391" s="8" t="s">
        <v>8171</v>
      </c>
      <c r="E1391" s="8" t="s">
        <v>8172</v>
      </c>
      <c r="F1391" s="8" t="s">
        <v>8173</v>
      </c>
      <c r="G1391" s="6" t="s">
        <v>132</v>
      </c>
      <c r="H1391" s="6" t="s">
        <v>39</v>
      </c>
      <c r="I1391" s="8" t="s">
        <v>40</v>
      </c>
      <c r="J1391" s="9">
        <v>1</v>
      </c>
      <c r="K1391" s="9">
        <v>355</v>
      </c>
      <c r="L1391" s="9">
        <v>2025</v>
      </c>
      <c r="M1391" s="8" t="s">
        <v>8174</v>
      </c>
      <c r="N1391" s="8" t="s">
        <v>42</v>
      </c>
      <c r="O1391" s="8" t="s">
        <v>189</v>
      </c>
      <c r="P1391" s="6" t="s">
        <v>44</v>
      </c>
      <c r="Q1391" s="8" t="s">
        <v>45</v>
      </c>
      <c r="R1391" s="10" t="s">
        <v>8175</v>
      </c>
      <c r="S1391" s="11"/>
      <c r="T1391" s="6"/>
      <c r="U1391" s="24" t="str">
        <f>HYPERLINK("https://media.infra-m.ru/2186/2186856/cover/2186856.jpg", "Обложка")</f>
        <v>Обложка</v>
      </c>
      <c r="V1391" s="24" t="str">
        <f>HYPERLINK("https://znanium.ru/catalog/product/2186410", "Ознакомиться")</f>
        <v>Ознакомиться</v>
      </c>
      <c r="W1391" s="8"/>
      <c r="X1391" s="6"/>
      <c r="Y1391" s="6"/>
      <c r="Z1391" s="6"/>
      <c r="AA1391" s="6" t="s">
        <v>111</v>
      </c>
      <c r="AB1391" s="8"/>
    </row>
    <row r="1392" spans="1:28" s="4" customFormat="1" ht="42" customHeight="1">
      <c r="A1392" s="5">
        <v>0</v>
      </c>
      <c r="B1392" s="6" t="s">
        <v>8176</v>
      </c>
      <c r="C1392" s="13">
        <v>869.9</v>
      </c>
      <c r="D1392" s="8" t="s">
        <v>8177</v>
      </c>
      <c r="E1392" s="8" t="s">
        <v>8178</v>
      </c>
      <c r="F1392" s="8" t="s">
        <v>8179</v>
      </c>
      <c r="G1392" s="6" t="s">
        <v>38</v>
      </c>
      <c r="H1392" s="6" t="s">
        <v>39</v>
      </c>
      <c r="I1392" s="8" t="s">
        <v>40</v>
      </c>
      <c r="J1392" s="9">
        <v>1</v>
      </c>
      <c r="K1392" s="9">
        <v>160</v>
      </c>
      <c r="L1392" s="9">
        <v>2023</v>
      </c>
      <c r="M1392" s="8" t="s">
        <v>8180</v>
      </c>
      <c r="N1392" s="8" t="s">
        <v>42</v>
      </c>
      <c r="O1392" s="8" t="s">
        <v>189</v>
      </c>
      <c r="P1392" s="6" t="s">
        <v>44</v>
      </c>
      <c r="Q1392" s="8" t="s">
        <v>45</v>
      </c>
      <c r="R1392" s="10" t="s">
        <v>8181</v>
      </c>
      <c r="S1392" s="11"/>
      <c r="T1392" s="6" t="s">
        <v>1080</v>
      </c>
      <c r="U1392" s="24" t="str">
        <f>HYPERLINK("https://media.infra-m.ru/1911/1911812/cover/1911812.jpg", "Обложка")</f>
        <v>Обложка</v>
      </c>
      <c r="V1392" s="24" t="str">
        <f>HYPERLINK("https://znanium.ru/catalog/product/501742", "Ознакомиться")</f>
        <v>Ознакомиться</v>
      </c>
      <c r="W1392" s="8" t="s">
        <v>732</v>
      </c>
      <c r="X1392" s="6"/>
      <c r="Y1392" s="6"/>
      <c r="Z1392" s="6"/>
      <c r="AA1392" s="6" t="s">
        <v>377</v>
      </c>
      <c r="AB1392" s="8" t="s">
        <v>1902</v>
      </c>
    </row>
    <row r="1393" spans="1:28" s="4" customFormat="1" ht="42" customHeight="1">
      <c r="A1393" s="5">
        <v>0</v>
      </c>
      <c r="B1393" s="6" t="s">
        <v>8182</v>
      </c>
      <c r="C1393" s="7">
        <v>1025.9000000000001</v>
      </c>
      <c r="D1393" s="8" t="s">
        <v>8183</v>
      </c>
      <c r="E1393" s="8" t="s">
        <v>8184</v>
      </c>
      <c r="F1393" s="8" t="s">
        <v>8185</v>
      </c>
      <c r="G1393" s="6" t="s">
        <v>38</v>
      </c>
      <c r="H1393" s="6" t="s">
        <v>182</v>
      </c>
      <c r="I1393" s="8"/>
      <c r="J1393" s="9">
        <v>1</v>
      </c>
      <c r="K1393" s="9">
        <v>243</v>
      </c>
      <c r="L1393" s="9">
        <v>2020</v>
      </c>
      <c r="M1393" s="8" t="s">
        <v>8186</v>
      </c>
      <c r="N1393" s="8" t="s">
        <v>42</v>
      </c>
      <c r="O1393" s="8" t="s">
        <v>1035</v>
      </c>
      <c r="P1393" s="6" t="s">
        <v>44</v>
      </c>
      <c r="Q1393" s="8" t="s">
        <v>45</v>
      </c>
      <c r="R1393" s="10" t="s">
        <v>8187</v>
      </c>
      <c r="S1393" s="11"/>
      <c r="T1393" s="6"/>
      <c r="U1393" s="24" t="str">
        <f>HYPERLINK("https://media.infra-m.ru/1044/1044578/cover/1044578.jpg", "Обложка")</f>
        <v>Обложка</v>
      </c>
      <c r="V1393" s="24" t="str">
        <f>HYPERLINK("https://znanium.ru/catalog/product/946020", "Ознакомиться")</f>
        <v>Ознакомиться</v>
      </c>
      <c r="W1393" s="8" t="s">
        <v>2398</v>
      </c>
      <c r="X1393" s="6"/>
      <c r="Y1393" s="6"/>
      <c r="Z1393" s="6"/>
      <c r="AA1393" s="6" t="s">
        <v>68</v>
      </c>
      <c r="AB1393" s="8"/>
    </row>
    <row r="1394" spans="1:28" s="4" customFormat="1" ht="51.95" customHeight="1">
      <c r="A1394" s="5">
        <v>0</v>
      </c>
      <c r="B1394" s="6" t="s">
        <v>8188</v>
      </c>
      <c r="C1394" s="7">
        <v>1300.8</v>
      </c>
      <c r="D1394" s="8" t="s">
        <v>8189</v>
      </c>
      <c r="E1394" s="8" t="s">
        <v>8190</v>
      </c>
      <c r="F1394" s="8" t="s">
        <v>8191</v>
      </c>
      <c r="G1394" s="6" t="s">
        <v>38</v>
      </c>
      <c r="H1394" s="6" t="s">
        <v>3576</v>
      </c>
      <c r="I1394" s="8"/>
      <c r="J1394" s="9">
        <v>1</v>
      </c>
      <c r="K1394" s="9">
        <v>208</v>
      </c>
      <c r="L1394" s="9">
        <v>2025</v>
      </c>
      <c r="M1394" s="8" t="s">
        <v>8192</v>
      </c>
      <c r="N1394" s="8" t="s">
        <v>42</v>
      </c>
      <c r="O1394" s="8" t="s">
        <v>246</v>
      </c>
      <c r="P1394" s="6" t="s">
        <v>44</v>
      </c>
      <c r="Q1394" s="8" t="s">
        <v>1152</v>
      </c>
      <c r="R1394" s="10" t="s">
        <v>8193</v>
      </c>
      <c r="S1394" s="11"/>
      <c r="T1394" s="6"/>
      <c r="U1394" s="24" t="str">
        <f>HYPERLINK("https://media.infra-m.ru/2200/2200118/cover/2200118.jpg", "Обложка")</f>
        <v>Обложка</v>
      </c>
      <c r="V1394" s="24" t="str">
        <f>HYPERLINK("https://znanium.ru/catalog/product/1002564", "Ознакомиться")</f>
        <v>Ознакомиться</v>
      </c>
      <c r="W1394" s="8" t="s">
        <v>7713</v>
      </c>
      <c r="X1394" s="6"/>
      <c r="Y1394" s="6"/>
      <c r="Z1394" s="6"/>
      <c r="AA1394" s="6" t="s">
        <v>377</v>
      </c>
      <c r="AB1394" s="8"/>
    </row>
    <row r="1395" spans="1:28" s="4" customFormat="1" ht="42" customHeight="1">
      <c r="A1395" s="5">
        <v>0</v>
      </c>
      <c r="B1395" s="6" t="s">
        <v>8194</v>
      </c>
      <c r="C1395" s="7">
        <v>1236</v>
      </c>
      <c r="D1395" s="8" t="s">
        <v>8195</v>
      </c>
      <c r="E1395" s="8" t="s">
        <v>8196</v>
      </c>
      <c r="F1395" s="8" t="s">
        <v>8197</v>
      </c>
      <c r="G1395" s="6" t="s">
        <v>81</v>
      </c>
      <c r="H1395" s="6" t="s">
        <v>39</v>
      </c>
      <c r="I1395" s="8" t="s">
        <v>336</v>
      </c>
      <c r="J1395" s="9">
        <v>1</v>
      </c>
      <c r="K1395" s="9">
        <v>272</v>
      </c>
      <c r="L1395" s="9">
        <v>2022</v>
      </c>
      <c r="M1395" s="8" t="s">
        <v>8198</v>
      </c>
      <c r="N1395" s="8" t="s">
        <v>42</v>
      </c>
      <c r="O1395" s="8" t="s">
        <v>101</v>
      </c>
      <c r="P1395" s="6" t="s">
        <v>44</v>
      </c>
      <c r="Q1395" s="8" t="s">
        <v>45</v>
      </c>
      <c r="R1395" s="10" t="s">
        <v>2137</v>
      </c>
      <c r="S1395" s="11"/>
      <c r="T1395" s="6"/>
      <c r="U1395" s="24" t="str">
        <f>HYPERLINK("https://media.infra-m.ru/1870/1870587/cover/1870587.jpg", "Обложка")</f>
        <v>Обложка</v>
      </c>
      <c r="V1395" s="24" t="str">
        <f>HYPERLINK("https://znanium.ru/catalog/product/1870587", "Ознакомиться")</f>
        <v>Ознакомиться</v>
      </c>
      <c r="W1395" s="8" t="s">
        <v>103</v>
      </c>
      <c r="X1395" s="6"/>
      <c r="Y1395" s="6"/>
      <c r="Z1395" s="6"/>
      <c r="AA1395" s="6" t="s">
        <v>369</v>
      </c>
      <c r="AB1395" s="8"/>
    </row>
    <row r="1396" spans="1:28" s="4" customFormat="1" ht="51.95" customHeight="1">
      <c r="A1396" s="5">
        <v>0</v>
      </c>
      <c r="B1396" s="6" t="s">
        <v>8199</v>
      </c>
      <c r="C1396" s="13">
        <v>891.6</v>
      </c>
      <c r="D1396" s="8" t="s">
        <v>8200</v>
      </c>
      <c r="E1396" s="8" t="s">
        <v>8201</v>
      </c>
      <c r="F1396" s="8" t="s">
        <v>8202</v>
      </c>
      <c r="G1396" s="6" t="s">
        <v>38</v>
      </c>
      <c r="H1396" s="6" t="s">
        <v>99</v>
      </c>
      <c r="I1396" s="8"/>
      <c r="J1396" s="9">
        <v>1</v>
      </c>
      <c r="K1396" s="9">
        <v>98</v>
      </c>
      <c r="L1396" s="9">
        <v>2025</v>
      </c>
      <c r="M1396" s="8" t="s">
        <v>8203</v>
      </c>
      <c r="N1396" s="8" t="s">
        <v>284</v>
      </c>
      <c r="O1396" s="8" t="s">
        <v>717</v>
      </c>
      <c r="P1396" s="6" t="s">
        <v>44</v>
      </c>
      <c r="Q1396" s="8" t="s">
        <v>45</v>
      </c>
      <c r="R1396" s="10" t="s">
        <v>8204</v>
      </c>
      <c r="S1396" s="11"/>
      <c r="T1396" s="6"/>
      <c r="U1396" s="24" t="str">
        <f>HYPERLINK("https://media.infra-m.ru/2220/2220696/cover/2220696.jpg", "Обложка")</f>
        <v>Обложка</v>
      </c>
      <c r="V1396" s="24" t="str">
        <f>HYPERLINK("https://znanium.ru/catalog/product/2211227", "Ознакомиться")</f>
        <v>Ознакомиться</v>
      </c>
      <c r="W1396" s="8" t="s">
        <v>8205</v>
      </c>
      <c r="X1396" s="6"/>
      <c r="Y1396" s="6"/>
      <c r="Z1396" s="6"/>
      <c r="AA1396" s="6" t="s">
        <v>159</v>
      </c>
      <c r="AB1396" s="8"/>
    </row>
    <row r="1397" spans="1:28" s="4" customFormat="1" ht="51.95" customHeight="1">
      <c r="A1397" s="5">
        <v>0</v>
      </c>
      <c r="B1397" s="6" t="s">
        <v>8206</v>
      </c>
      <c r="C1397" s="7">
        <v>1060.8</v>
      </c>
      <c r="D1397" s="8" t="s">
        <v>8207</v>
      </c>
      <c r="E1397" s="8" t="s">
        <v>8208</v>
      </c>
      <c r="F1397" s="8" t="s">
        <v>8209</v>
      </c>
      <c r="G1397" s="6" t="s">
        <v>38</v>
      </c>
      <c r="H1397" s="6" t="s">
        <v>182</v>
      </c>
      <c r="I1397" s="8" t="s">
        <v>40</v>
      </c>
      <c r="J1397" s="9">
        <v>1</v>
      </c>
      <c r="K1397" s="9">
        <v>192</v>
      </c>
      <c r="L1397" s="9">
        <v>2024</v>
      </c>
      <c r="M1397" s="8" t="s">
        <v>8210</v>
      </c>
      <c r="N1397" s="8" t="s">
        <v>284</v>
      </c>
      <c r="O1397" s="8" t="s">
        <v>383</v>
      </c>
      <c r="P1397" s="6" t="s">
        <v>44</v>
      </c>
      <c r="Q1397" s="8" t="s">
        <v>45</v>
      </c>
      <c r="R1397" s="10" t="s">
        <v>8211</v>
      </c>
      <c r="S1397" s="11"/>
      <c r="T1397" s="6"/>
      <c r="U1397" s="24" t="str">
        <f>HYPERLINK("https://media.infra-m.ru/2079/2079652/cover/2079652.jpg", "Обложка")</f>
        <v>Обложка</v>
      </c>
      <c r="V1397" s="24" t="str">
        <f>HYPERLINK("https://znanium.ru/catalog/product/1857458", "Ознакомиться")</f>
        <v>Ознакомиться</v>
      </c>
      <c r="W1397" s="8" t="s">
        <v>6338</v>
      </c>
      <c r="X1397" s="6"/>
      <c r="Y1397" s="6"/>
      <c r="Z1397" s="6"/>
      <c r="AA1397" s="6" t="s">
        <v>290</v>
      </c>
      <c r="AB1397" s="8"/>
    </row>
    <row r="1398" spans="1:28" s="4" customFormat="1" ht="44.1" customHeight="1">
      <c r="A1398" s="5">
        <v>0</v>
      </c>
      <c r="B1398" s="6" t="s">
        <v>8212</v>
      </c>
      <c r="C1398" s="7">
        <v>1428</v>
      </c>
      <c r="D1398" s="8" t="s">
        <v>8213</v>
      </c>
      <c r="E1398" s="8" t="s">
        <v>8214</v>
      </c>
      <c r="F1398" s="8" t="s">
        <v>8215</v>
      </c>
      <c r="G1398" s="6" t="s">
        <v>38</v>
      </c>
      <c r="H1398" s="6" t="s">
        <v>39</v>
      </c>
      <c r="I1398" s="8" t="s">
        <v>40</v>
      </c>
      <c r="J1398" s="9">
        <v>1</v>
      </c>
      <c r="K1398" s="9">
        <v>245</v>
      </c>
      <c r="L1398" s="9">
        <v>2024</v>
      </c>
      <c r="M1398" s="8" t="s">
        <v>8216</v>
      </c>
      <c r="N1398" s="8" t="s">
        <v>229</v>
      </c>
      <c r="O1398" s="8" t="s">
        <v>230</v>
      </c>
      <c r="P1398" s="6" t="s">
        <v>44</v>
      </c>
      <c r="Q1398" s="8" t="s">
        <v>45</v>
      </c>
      <c r="R1398" s="10" t="s">
        <v>8217</v>
      </c>
      <c r="S1398" s="11"/>
      <c r="T1398" s="6"/>
      <c r="U1398" s="24" t="str">
        <f>HYPERLINK("https://media.infra-m.ru/2085/2085936/cover/2085936.jpg", "Обложка")</f>
        <v>Обложка</v>
      </c>
      <c r="V1398" s="24" t="str">
        <f>HYPERLINK("https://znanium.ru/catalog/product/2085936", "Ознакомиться")</f>
        <v>Ознакомиться</v>
      </c>
      <c r="W1398" s="8" t="s">
        <v>1575</v>
      </c>
      <c r="X1398" s="6"/>
      <c r="Y1398" s="6"/>
      <c r="Z1398" s="6"/>
      <c r="AA1398" s="6" t="s">
        <v>58</v>
      </c>
      <c r="AB1398" s="8"/>
    </row>
    <row r="1399" spans="1:28" s="4" customFormat="1" ht="42" customHeight="1">
      <c r="A1399" s="5">
        <v>0</v>
      </c>
      <c r="B1399" s="6" t="s">
        <v>8218</v>
      </c>
      <c r="C1399" s="7">
        <v>1512</v>
      </c>
      <c r="D1399" s="8" t="s">
        <v>8219</v>
      </c>
      <c r="E1399" s="8" t="s">
        <v>8220</v>
      </c>
      <c r="F1399" s="8" t="s">
        <v>8221</v>
      </c>
      <c r="G1399" s="6" t="s">
        <v>132</v>
      </c>
      <c r="H1399" s="6" t="s">
        <v>39</v>
      </c>
      <c r="I1399" s="8" t="s">
        <v>40</v>
      </c>
      <c r="J1399" s="9">
        <v>1</v>
      </c>
      <c r="K1399" s="9">
        <v>237</v>
      </c>
      <c r="L1399" s="9">
        <v>2025</v>
      </c>
      <c r="M1399" s="8" t="s">
        <v>8222</v>
      </c>
      <c r="N1399" s="8" t="s">
        <v>42</v>
      </c>
      <c r="O1399" s="8" t="s">
        <v>189</v>
      </c>
      <c r="P1399" s="6" t="s">
        <v>44</v>
      </c>
      <c r="Q1399" s="8" t="s">
        <v>45</v>
      </c>
      <c r="R1399" s="10" t="s">
        <v>2233</v>
      </c>
      <c r="S1399" s="11"/>
      <c r="T1399" s="6"/>
      <c r="U1399" s="24" t="str">
        <f>HYPERLINK("https://media.infra-m.ru/2147/2147388/cover/2147388.jpg", "Обложка")</f>
        <v>Обложка</v>
      </c>
      <c r="V1399" s="24" t="str">
        <f>HYPERLINK("https://znanium.ru/catalog/product/2147388", "Ознакомиться")</f>
        <v>Ознакомиться</v>
      </c>
      <c r="W1399" s="8" t="s">
        <v>2138</v>
      </c>
      <c r="X1399" s="6"/>
      <c r="Y1399" s="6"/>
      <c r="Z1399" s="6"/>
      <c r="AA1399" s="6" t="s">
        <v>159</v>
      </c>
      <c r="AB1399" s="8"/>
    </row>
    <row r="1400" spans="1:28" s="4" customFormat="1" ht="51.95" customHeight="1">
      <c r="A1400" s="5">
        <v>0</v>
      </c>
      <c r="B1400" s="6" t="s">
        <v>8223</v>
      </c>
      <c r="C1400" s="13">
        <v>816</v>
      </c>
      <c r="D1400" s="8" t="s">
        <v>8224</v>
      </c>
      <c r="E1400" s="8" t="s">
        <v>8225</v>
      </c>
      <c r="F1400" s="8" t="s">
        <v>8226</v>
      </c>
      <c r="G1400" s="6" t="s">
        <v>38</v>
      </c>
      <c r="H1400" s="6" t="s">
        <v>39</v>
      </c>
      <c r="I1400" s="8" t="s">
        <v>40</v>
      </c>
      <c r="J1400" s="9">
        <v>1</v>
      </c>
      <c r="K1400" s="9">
        <v>137</v>
      </c>
      <c r="L1400" s="9">
        <v>2024</v>
      </c>
      <c r="M1400" s="8" t="s">
        <v>8227</v>
      </c>
      <c r="N1400" s="8" t="s">
        <v>54</v>
      </c>
      <c r="O1400" s="8" t="s">
        <v>55</v>
      </c>
      <c r="P1400" s="6" t="s">
        <v>580</v>
      </c>
      <c r="Q1400" s="8" t="s">
        <v>45</v>
      </c>
      <c r="R1400" s="10" t="s">
        <v>8228</v>
      </c>
      <c r="S1400" s="11"/>
      <c r="T1400" s="6"/>
      <c r="U1400" s="24" t="str">
        <f>HYPERLINK("https://media.infra-m.ru/1911/1911446/cover/1911446.jpg", "Обложка")</f>
        <v>Обложка</v>
      </c>
      <c r="V1400" s="24" t="str">
        <f>HYPERLINK("https://znanium.ru/catalog/product/1911446", "Ознакомиться")</f>
        <v>Ознакомиться</v>
      </c>
      <c r="W1400" s="8"/>
      <c r="X1400" s="6"/>
      <c r="Y1400" s="6"/>
      <c r="Z1400" s="6"/>
      <c r="AA1400" s="6" t="s">
        <v>58</v>
      </c>
      <c r="AB1400" s="8"/>
    </row>
    <row r="1401" spans="1:28" s="4" customFormat="1" ht="42" customHeight="1">
      <c r="A1401" s="5">
        <v>0</v>
      </c>
      <c r="B1401" s="6" t="s">
        <v>8229</v>
      </c>
      <c r="C1401" s="7">
        <v>1140</v>
      </c>
      <c r="D1401" s="8" t="s">
        <v>8230</v>
      </c>
      <c r="E1401" s="8" t="s">
        <v>8231</v>
      </c>
      <c r="F1401" s="8" t="s">
        <v>8232</v>
      </c>
      <c r="G1401" s="6" t="s">
        <v>81</v>
      </c>
      <c r="H1401" s="6" t="s">
        <v>39</v>
      </c>
      <c r="I1401" s="8" t="s">
        <v>40</v>
      </c>
      <c r="J1401" s="9">
        <v>1</v>
      </c>
      <c r="K1401" s="9">
        <v>189</v>
      </c>
      <c r="L1401" s="9">
        <v>2025</v>
      </c>
      <c r="M1401" s="8" t="s">
        <v>8233</v>
      </c>
      <c r="N1401" s="8" t="s">
        <v>229</v>
      </c>
      <c r="O1401" s="8" t="s">
        <v>230</v>
      </c>
      <c r="P1401" s="6" t="s">
        <v>44</v>
      </c>
      <c r="Q1401" s="8" t="s">
        <v>45</v>
      </c>
      <c r="R1401" s="10" t="s">
        <v>8234</v>
      </c>
      <c r="S1401" s="11"/>
      <c r="T1401" s="6"/>
      <c r="U1401" s="24" t="str">
        <f>HYPERLINK("https://media.infra-m.ru/2158/2158048/cover/2158048.jpg", "Обложка")</f>
        <v>Обложка</v>
      </c>
      <c r="V1401" s="24" t="str">
        <f>HYPERLINK("https://znanium.ru/catalog/product/2158048", "Ознакомиться")</f>
        <v>Ознакомиться</v>
      </c>
      <c r="W1401" s="8" t="s">
        <v>93</v>
      </c>
      <c r="X1401" s="6"/>
      <c r="Y1401" s="6"/>
      <c r="Z1401" s="6"/>
      <c r="AA1401" s="6" t="s">
        <v>369</v>
      </c>
      <c r="AB1401" s="8"/>
    </row>
    <row r="1402" spans="1:28" s="4" customFormat="1" ht="42" customHeight="1">
      <c r="A1402" s="5">
        <v>0</v>
      </c>
      <c r="B1402" s="6" t="s">
        <v>8235</v>
      </c>
      <c r="C1402" s="7">
        <v>2716.8</v>
      </c>
      <c r="D1402" s="8" t="s">
        <v>8236</v>
      </c>
      <c r="E1402" s="8" t="s">
        <v>8237</v>
      </c>
      <c r="F1402" s="8" t="s">
        <v>8238</v>
      </c>
      <c r="G1402" s="6" t="s">
        <v>132</v>
      </c>
      <c r="H1402" s="6" t="s">
        <v>3369</v>
      </c>
      <c r="I1402" s="8" t="s">
        <v>3186</v>
      </c>
      <c r="J1402" s="9">
        <v>1</v>
      </c>
      <c r="K1402" s="9">
        <v>435</v>
      </c>
      <c r="L1402" s="9">
        <v>2025</v>
      </c>
      <c r="M1402" s="8" t="s">
        <v>8239</v>
      </c>
      <c r="N1402" s="8" t="s">
        <v>42</v>
      </c>
      <c r="O1402" s="8" t="s">
        <v>101</v>
      </c>
      <c r="P1402" s="6" t="s">
        <v>44</v>
      </c>
      <c r="Q1402" s="8" t="s">
        <v>45</v>
      </c>
      <c r="R1402" s="10" t="s">
        <v>874</v>
      </c>
      <c r="S1402" s="11"/>
      <c r="T1402" s="6"/>
      <c r="U1402" s="24" t="str">
        <f>HYPERLINK("https://media.infra-m.ru/2208/2208467/cover/2208467.jpg", "Обложка")</f>
        <v>Обложка</v>
      </c>
      <c r="V1402" s="12"/>
      <c r="W1402" s="8" t="s">
        <v>3188</v>
      </c>
      <c r="X1402" s="6"/>
      <c r="Y1402" s="6"/>
      <c r="Z1402" s="6"/>
      <c r="AA1402" s="6" t="s">
        <v>1556</v>
      </c>
      <c r="AB1402" s="8"/>
    </row>
    <row r="1403" spans="1:28" s="4" customFormat="1" ht="42" customHeight="1">
      <c r="A1403" s="5">
        <v>0</v>
      </c>
      <c r="B1403" s="6" t="s">
        <v>8240</v>
      </c>
      <c r="C1403" s="13">
        <v>960</v>
      </c>
      <c r="D1403" s="8" t="s">
        <v>8241</v>
      </c>
      <c r="E1403" s="8" t="s">
        <v>8242</v>
      </c>
      <c r="F1403" s="8" t="s">
        <v>8243</v>
      </c>
      <c r="G1403" s="6" t="s">
        <v>38</v>
      </c>
      <c r="H1403" s="6" t="s">
        <v>39</v>
      </c>
      <c r="I1403" s="8" t="s">
        <v>40</v>
      </c>
      <c r="J1403" s="9">
        <v>1</v>
      </c>
      <c r="K1403" s="9">
        <v>200</v>
      </c>
      <c r="L1403" s="9">
        <v>2022</v>
      </c>
      <c r="M1403" s="8" t="s">
        <v>8244</v>
      </c>
      <c r="N1403" s="8" t="s">
        <v>220</v>
      </c>
      <c r="O1403" s="8" t="s">
        <v>296</v>
      </c>
      <c r="P1403" s="6" t="s">
        <v>44</v>
      </c>
      <c r="Q1403" s="8" t="s">
        <v>45</v>
      </c>
      <c r="R1403" s="10" t="s">
        <v>4528</v>
      </c>
      <c r="S1403" s="11"/>
      <c r="T1403" s="6"/>
      <c r="U1403" s="24" t="str">
        <f>HYPERLINK("https://media.infra-m.ru/1864/1864110/cover/1864110.jpg", "Обложка")</f>
        <v>Обложка</v>
      </c>
      <c r="V1403" s="24" t="str">
        <f>HYPERLINK("https://znanium.ru/catalog/product/1864110", "Ознакомиться")</f>
        <v>Ознакомиться</v>
      </c>
      <c r="W1403" s="8" t="s">
        <v>305</v>
      </c>
      <c r="X1403" s="6"/>
      <c r="Y1403" s="6"/>
      <c r="Z1403" s="6"/>
      <c r="AA1403" s="6" t="s">
        <v>168</v>
      </c>
      <c r="AB1403" s="8"/>
    </row>
    <row r="1404" spans="1:28" s="4" customFormat="1" ht="44.1" customHeight="1">
      <c r="A1404" s="5">
        <v>0</v>
      </c>
      <c r="B1404" s="6" t="s">
        <v>8245</v>
      </c>
      <c r="C1404" s="7">
        <v>1636.8</v>
      </c>
      <c r="D1404" s="8" t="s">
        <v>8246</v>
      </c>
      <c r="E1404" s="8" t="s">
        <v>8247</v>
      </c>
      <c r="F1404" s="8" t="s">
        <v>4526</v>
      </c>
      <c r="G1404" s="6" t="s">
        <v>38</v>
      </c>
      <c r="H1404" s="6" t="s">
        <v>1334</v>
      </c>
      <c r="I1404" s="8"/>
      <c r="J1404" s="9">
        <v>1</v>
      </c>
      <c r="K1404" s="9">
        <v>256</v>
      </c>
      <c r="L1404" s="9">
        <v>2026</v>
      </c>
      <c r="M1404" s="8" t="s">
        <v>8248</v>
      </c>
      <c r="N1404" s="8" t="s">
        <v>220</v>
      </c>
      <c r="O1404" s="8" t="s">
        <v>296</v>
      </c>
      <c r="P1404" s="6" t="s">
        <v>44</v>
      </c>
      <c r="Q1404" s="8" t="s">
        <v>45</v>
      </c>
      <c r="R1404" s="10" t="s">
        <v>8249</v>
      </c>
      <c r="S1404" s="11"/>
      <c r="T1404" s="6"/>
      <c r="U1404" s="24" t="str">
        <f>HYPERLINK("https://media.infra-m.ru/2217/2217458/cover/2217458.jpg", "Обложка")</f>
        <v>Обложка</v>
      </c>
      <c r="V1404" s="24" t="str">
        <f>HYPERLINK("https://znanium.ru/catalog/product/1089803", "Ознакомиться")</f>
        <v>Ознакомиться</v>
      </c>
      <c r="W1404" s="8" t="s">
        <v>289</v>
      </c>
      <c r="X1404" s="6"/>
      <c r="Y1404" s="6"/>
      <c r="Z1404" s="6"/>
      <c r="AA1404" s="6" t="s">
        <v>377</v>
      </c>
      <c r="AB1404" s="8"/>
    </row>
    <row r="1405" spans="1:28" s="4" customFormat="1" ht="42" customHeight="1">
      <c r="A1405" s="5">
        <v>0</v>
      </c>
      <c r="B1405" s="6" t="s">
        <v>8250</v>
      </c>
      <c r="C1405" s="7">
        <v>1260</v>
      </c>
      <c r="D1405" s="8" t="s">
        <v>8251</v>
      </c>
      <c r="E1405" s="8" t="s">
        <v>8252</v>
      </c>
      <c r="F1405" s="8" t="s">
        <v>4526</v>
      </c>
      <c r="G1405" s="6" t="s">
        <v>38</v>
      </c>
      <c r="H1405" s="6" t="s">
        <v>39</v>
      </c>
      <c r="I1405" s="8" t="s">
        <v>40</v>
      </c>
      <c r="J1405" s="9">
        <v>1</v>
      </c>
      <c r="K1405" s="9">
        <v>203</v>
      </c>
      <c r="L1405" s="9">
        <v>2021</v>
      </c>
      <c r="M1405" s="8" t="s">
        <v>8253</v>
      </c>
      <c r="N1405" s="8" t="s">
        <v>284</v>
      </c>
      <c r="O1405" s="8" t="s">
        <v>2265</v>
      </c>
      <c r="P1405" s="6" t="s">
        <v>44</v>
      </c>
      <c r="Q1405" s="8" t="s">
        <v>45</v>
      </c>
      <c r="R1405" s="10" t="s">
        <v>7152</v>
      </c>
      <c r="S1405" s="11"/>
      <c r="T1405" s="6"/>
      <c r="U1405" s="24" t="str">
        <f>HYPERLINK("https://media.infra-m.ru/1230/1230211/cover/1230211.jpg", "Обложка")</f>
        <v>Обложка</v>
      </c>
      <c r="V1405" s="24" t="str">
        <f>HYPERLINK("https://znanium.ru/catalog/product/1230211", "Ознакомиться")</f>
        <v>Ознакомиться</v>
      </c>
      <c r="W1405" s="8" t="s">
        <v>289</v>
      </c>
      <c r="X1405" s="6"/>
      <c r="Y1405" s="6"/>
      <c r="Z1405" s="6"/>
      <c r="AA1405" s="6" t="s">
        <v>199</v>
      </c>
      <c r="AB1405" s="8"/>
    </row>
    <row r="1406" spans="1:28" s="4" customFormat="1" ht="44.1" customHeight="1">
      <c r="A1406" s="5">
        <v>0</v>
      </c>
      <c r="B1406" s="6" t="s">
        <v>8254</v>
      </c>
      <c r="C1406" s="7">
        <v>1224</v>
      </c>
      <c r="D1406" s="8" t="s">
        <v>8255</v>
      </c>
      <c r="E1406" s="8" t="s">
        <v>8256</v>
      </c>
      <c r="F1406" s="8" t="s">
        <v>8257</v>
      </c>
      <c r="G1406" s="6" t="s">
        <v>81</v>
      </c>
      <c r="H1406" s="6" t="s">
        <v>39</v>
      </c>
      <c r="I1406" s="8" t="s">
        <v>40</v>
      </c>
      <c r="J1406" s="9">
        <v>1</v>
      </c>
      <c r="K1406" s="9">
        <v>214</v>
      </c>
      <c r="L1406" s="9">
        <v>2024</v>
      </c>
      <c r="M1406" s="8" t="s">
        <v>8258</v>
      </c>
      <c r="N1406" s="8" t="s">
        <v>42</v>
      </c>
      <c r="O1406" s="8" t="s">
        <v>101</v>
      </c>
      <c r="P1406" s="6" t="s">
        <v>44</v>
      </c>
      <c r="Q1406" s="8" t="s">
        <v>45</v>
      </c>
      <c r="R1406" s="10" t="s">
        <v>4373</v>
      </c>
      <c r="S1406" s="11"/>
      <c r="T1406" s="6"/>
      <c r="U1406" s="24" t="str">
        <f>HYPERLINK("https://media.infra-m.ru/2132/2132306/cover/2132306.jpg", "Обложка")</f>
        <v>Обложка</v>
      </c>
      <c r="V1406" s="24" t="str">
        <f>HYPERLINK("https://znanium.ru/catalog/product/2132306", "Ознакомиться")</f>
        <v>Ознакомиться</v>
      </c>
      <c r="W1406" s="8" t="s">
        <v>3675</v>
      </c>
      <c r="X1406" s="6"/>
      <c r="Y1406" s="6"/>
      <c r="Z1406" s="6"/>
      <c r="AA1406" s="6" t="s">
        <v>168</v>
      </c>
      <c r="AB1406" s="8"/>
    </row>
    <row r="1407" spans="1:28" s="4" customFormat="1" ht="51.95" customHeight="1">
      <c r="A1407" s="5">
        <v>0</v>
      </c>
      <c r="B1407" s="6" t="s">
        <v>8259</v>
      </c>
      <c r="C1407" s="7">
        <v>1044</v>
      </c>
      <c r="D1407" s="8" t="s">
        <v>8260</v>
      </c>
      <c r="E1407" s="8" t="s">
        <v>8261</v>
      </c>
      <c r="F1407" s="8" t="s">
        <v>8262</v>
      </c>
      <c r="G1407" s="6" t="s">
        <v>81</v>
      </c>
      <c r="H1407" s="6" t="s">
        <v>99</v>
      </c>
      <c r="I1407" s="8"/>
      <c r="J1407" s="9">
        <v>1</v>
      </c>
      <c r="K1407" s="9">
        <v>168</v>
      </c>
      <c r="L1407" s="9">
        <v>2025</v>
      </c>
      <c r="M1407" s="8" t="s">
        <v>8263</v>
      </c>
      <c r="N1407" s="8" t="s">
        <v>42</v>
      </c>
      <c r="O1407" s="8" t="s">
        <v>101</v>
      </c>
      <c r="P1407" s="6" t="s">
        <v>44</v>
      </c>
      <c r="Q1407" s="8" t="s">
        <v>1152</v>
      </c>
      <c r="R1407" s="10" t="s">
        <v>8264</v>
      </c>
      <c r="S1407" s="11"/>
      <c r="T1407" s="6"/>
      <c r="U1407" s="24" t="str">
        <f>HYPERLINK("https://media.infra-m.ru/2208/2208810/cover/2208810.jpg", "Обложка")</f>
        <v>Обложка</v>
      </c>
      <c r="V1407" s="24" t="str">
        <f>HYPERLINK("https://znanium.ru/catalog/product/2208810", "Ознакомиться")</f>
        <v>Ознакомиться</v>
      </c>
      <c r="W1407" s="8" t="s">
        <v>305</v>
      </c>
      <c r="X1407" s="6"/>
      <c r="Y1407" s="6"/>
      <c r="Z1407" s="6"/>
      <c r="AA1407" s="6" t="s">
        <v>4639</v>
      </c>
      <c r="AB1407" s="8"/>
    </row>
    <row r="1408" spans="1:28" s="4" customFormat="1" ht="51.95" customHeight="1">
      <c r="A1408" s="5">
        <v>0</v>
      </c>
      <c r="B1408" s="6" t="s">
        <v>8265</v>
      </c>
      <c r="C1408" s="13">
        <v>665.9</v>
      </c>
      <c r="D1408" s="8" t="s">
        <v>8266</v>
      </c>
      <c r="E1408" s="8" t="s">
        <v>8267</v>
      </c>
      <c r="F1408" s="8" t="s">
        <v>8262</v>
      </c>
      <c r="G1408" s="6" t="s">
        <v>38</v>
      </c>
      <c r="H1408" s="6" t="s">
        <v>99</v>
      </c>
      <c r="I1408" s="8"/>
      <c r="J1408" s="9">
        <v>40</v>
      </c>
      <c r="K1408" s="9">
        <v>160</v>
      </c>
      <c r="L1408" s="9">
        <v>2020</v>
      </c>
      <c r="M1408" s="8" t="s">
        <v>8268</v>
      </c>
      <c r="N1408" s="8" t="s">
        <v>42</v>
      </c>
      <c r="O1408" s="8" t="s">
        <v>101</v>
      </c>
      <c r="P1408" s="6" t="s">
        <v>44</v>
      </c>
      <c r="Q1408" s="8" t="s">
        <v>45</v>
      </c>
      <c r="R1408" s="10" t="s">
        <v>8264</v>
      </c>
      <c r="S1408" s="11"/>
      <c r="T1408" s="6"/>
      <c r="U1408" s="24" t="str">
        <f>HYPERLINK("https://media.infra-m.ru/1064/1064115/cover/1064115.jpg", "Обложка")</f>
        <v>Обложка</v>
      </c>
      <c r="V1408" s="24" t="str">
        <f>HYPERLINK("https://znanium.ru/catalog/product/2208810", "Ознакомиться")</f>
        <v>Ознакомиться</v>
      </c>
      <c r="W1408" s="8" t="s">
        <v>305</v>
      </c>
      <c r="X1408" s="6"/>
      <c r="Y1408" s="6"/>
      <c r="Z1408" s="6"/>
      <c r="AA1408" s="6" t="s">
        <v>331</v>
      </c>
      <c r="AB1408" s="8"/>
    </row>
    <row r="1409" spans="1:28" s="4" customFormat="1" ht="51.95" customHeight="1">
      <c r="A1409" s="5">
        <v>0</v>
      </c>
      <c r="B1409" s="6" t="s">
        <v>8269</v>
      </c>
      <c r="C1409" s="7">
        <v>2724</v>
      </c>
      <c r="D1409" s="8" t="s">
        <v>8270</v>
      </c>
      <c r="E1409" s="8" t="s">
        <v>8271</v>
      </c>
      <c r="F1409" s="8" t="s">
        <v>8272</v>
      </c>
      <c r="G1409" s="6" t="s">
        <v>38</v>
      </c>
      <c r="H1409" s="6" t="s">
        <v>39</v>
      </c>
      <c r="I1409" s="8" t="s">
        <v>40</v>
      </c>
      <c r="J1409" s="9">
        <v>1</v>
      </c>
      <c r="K1409" s="9">
        <v>482</v>
      </c>
      <c r="L1409" s="9">
        <v>2024</v>
      </c>
      <c r="M1409" s="8" t="s">
        <v>8273</v>
      </c>
      <c r="N1409" s="8" t="s">
        <v>54</v>
      </c>
      <c r="O1409" s="8" t="s">
        <v>55</v>
      </c>
      <c r="P1409" s="6" t="s">
        <v>44</v>
      </c>
      <c r="Q1409" s="8" t="s">
        <v>45</v>
      </c>
      <c r="R1409" s="10" t="s">
        <v>8274</v>
      </c>
      <c r="S1409" s="11"/>
      <c r="T1409" s="6"/>
      <c r="U1409" s="24" t="str">
        <f>HYPERLINK("https://media.infra-m.ru/2116/2116995/cover/2116995.jpg", "Обложка")</f>
        <v>Обложка</v>
      </c>
      <c r="V1409" s="24" t="str">
        <f>HYPERLINK("https://znanium.ru/catalog/product/2116995", "Ознакомиться")</f>
        <v>Ознакомиться</v>
      </c>
      <c r="W1409" s="8" t="s">
        <v>2234</v>
      </c>
      <c r="X1409" s="6"/>
      <c r="Y1409" s="6"/>
      <c r="Z1409" s="6"/>
      <c r="AA1409" s="6" t="s">
        <v>68</v>
      </c>
      <c r="AB1409" s="8"/>
    </row>
    <row r="1410" spans="1:28" s="4" customFormat="1" ht="42" customHeight="1">
      <c r="A1410" s="5">
        <v>0</v>
      </c>
      <c r="B1410" s="6" t="s">
        <v>8275</v>
      </c>
      <c r="C1410" s="7">
        <v>2172</v>
      </c>
      <c r="D1410" s="8" t="s">
        <v>8276</v>
      </c>
      <c r="E1410" s="8" t="s">
        <v>8277</v>
      </c>
      <c r="F1410" s="8" t="s">
        <v>8278</v>
      </c>
      <c r="G1410" s="6" t="s">
        <v>132</v>
      </c>
      <c r="H1410" s="6" t="s">
        <v>39</v>
      </c>
      <c r="I1410" s="8" t="s">
        <v>40</v>
      </c>
      <c r="J1410" s="9">
        <v>1</v>
      </c>
      <c r="K1410" s="9">
        <v>356</v>
      </c>
      <c r="L1410" s="9">
        <v>2025</v>
      </c>
      <c r="M1410" s="8" t="s">
        <v>8279</v>
      </c>
      <c r="N1410" s="8" t="s">
        <v>54</v>
      </c>
      <c r="O1410" s="8" t="s">
        <v>117</v>
      </c>
      <c r="P1410" s="6" t="s">
        <v>44</v>
      </c>
      <c r="Q1410" s="8" t="s">
        <v>45</v>
      </c>
      <c r="R1410" s="10" t="s">
        <v>8280</v>
      </c>
      <c r="S1410" s="11"/>
      <c r="T1410" s="6"/>
      <c r="U1410" s="24" t="str">
        <f>HYPERLINK("https://media.infra-m.ru/2168/2168595/cover/2168595.jpg", "Обложка")</f>
        <v>Обложка</v>
      </c>
      <c r="V1410" s="24" t="str">
        <f>HYPERLINK("https://znanium.ru/catalog/product/2168595", "Ознакомиться")</f>
        <v>Ознакомиться</v>
      </c>
      <c r="W1410" s="8" t="s">
        <v>491</v>
      </c>
      <c r="X1410" s="6" t="s">
        <v>517</v>
      </c>
      <c r="Y1410" s="6"/>
      <c r="Z1410" s="6"/>
      <c r="AA1410" s="6" t="s">
        <v>159</v>
      </c>
      <c r="AB1410" s="8"/>
    </row>
    <row r="1411" spans="1:28" s="4" customFormat="1" ht="51.95" customHeight="1">
      <c r="A1411" s="5">
        <v>0</v>
      </c>
      <c r="B1411" s="6" t="s">
        <v>8281</v>
      </c>
      <c r="C1411" s="7">
        <v>1500</v>
      </c>
      <c r="D1411" s="8" t="s">
        <v>8282</v>
      </c>
      <c r="E1411" s="8" t="s">
        <v>8283</v>
      </c>
      <c r="F1411" s="8" t="s">
        <v>8284</v>
      </c>
      <c r="G1411" s="6" t="s">
        <v>132</v>
      </c>
      <c r="H1411" s="6" t="s">
        <v>39</v>
      </c>
      <c r="I1411" s="8"/>
      <c r="J1411" s="9">
        <v>1</v>
      </c>
      <c r="K1411" s="9">
        <v>632</v>
      </c>
      <c r="L1411" s="9">
        <v>2024</v>
      </c>
      <c r="M1411" s="8" t="s">
        <v>8285</v>
      </c>
      <c r="N1411" s="8" t="s">
        <v>42</v>
      </c>
      <c r="O1411" s="8" t="s">
        <v>2306</v>
      </c>
      <c r="P1411" s="6" t="s">
        <v>44</v>
      </c>
      <c r="Q1411" s="8" t="s">
        <v>45</v>
      </c>
      <c r="R1411" s="10" t="s">
        <v>8286</v>
      </c>
      <c r="S1411" s="11"/>
      <c r="T1411" s="6"/>
      <c r="U1411" s="24" t="str">
        <f>HYPERLINK("https://media.infra-m.ru/2148/2148321/cover/2148321.jpg", "Обложка")</f>
        <v>Обложка</v>
      </c>
      <c r="V1411" s="12"/>
      <c r="W1411" s="8" t="s">
        <v>846</v>
      </c>
      <c r="X1411" s="6"/>
      <c r="Y1411" s="6"/>
      <c r="Z1411" s="6"/>
      <c r="AA1411" s="6" t="s">
        <v>58</v>
      </c>
      <c r="AB1411" s="8"/>
    </row>
    <row r="1412" spans="1:28" s="4" customFormat="1" ht="42" customHeight="1">
      <c r="A1412" s="5">
        <v>0</v>
      </c>
      <c r="B1412" s="6" t="s">
        <v>8287</v>
      </c>
      <c r="C1412" s="13">
        <v>708</v>
      </c>
      <c r="D1412" s="8" t="s">
        <v>8288</v>
      </c>
      <c r="E1412" s="8" t="s">
        <v>8289</v>
      </c>
      <c r="F1412" s="8" t="s">
        <v>697</v>
      </c>
      <c r="G1412" s="6" t="s">
        <v>38</v>
      </c>
      <c r="H1412" s="6" t="s">
        <v>39</v>
      </c>
      <c r="I1412" s="8" t="s">
        <v>40</v>
      </c>
      <c r="J1412" s="9">
        <v>1</v>
      </c>
      <c r="K1412" s="9">
        <v>147</v>
      </c>
      <c r="L1412" s="9">
        <v>2021</v>
      </c>
      <c r="M1412" s="8" t="s">
        <v>8290</v>
      </c>
      <c r="N1412" s="8" t="s">
        <v>54</v>
      </c>
      <c r="O1412" s="8" t="s">
        <v>91</v>
      </c>
      <c r="P1412" s="6" t="s">
        <v>44</v>
      </c>
      <c r="Q1412" s="8" t="s">
        <v>45</v>
      </c>
      <c r="R1412" s="10" t="s">
        <v>3174</v>
      </c>
      <c r="S1412" s="11"/>
      <c r="T1412" s="6"/>
      <c r="U1412" s="24" t="str">
        <f>HYPERLINK("https://media.infra-m.ru/1218/1218149/cover/1218149.jpg", "Обложка")</f>
        <v>Обложка</v>
      </c>
      <c r="V1412" s="24" t="str">
        <f>HYPERLINK("https://znanium.ru/catalog/product/1218149", "Ознакомиться")</f>
        <v>Ознакомиться</v>
      </c>
      <c r="W1412" s="8" t="s">
        <v>699</v>
      </c>
      <c r="X1412" s="6"/>
      <c r="Y1412" s="6"/>
      <c r="Z1412" s="6"/>
      <c r="AA1412" s="6" t="s">
        <v>199</v>
      </c>
      <c r="AB1412" s="8" t="s">
        <v>3455</v>
      </c>
    </row>
    <row r="1413" spans="1:28" s="4" customFormat="1" ht="51.95" customHeight="1">
      <c r="A1413" s="5">
        <v>0</v>
      </c>
      <c r="B1413" s="6" t="s">
        <v>8291</v>
      </c>
      <c r="C1413" s="13">
        <v>916.8</v>
      </c>
      <c r="D1413" s="8" t="s">
        <v>8292</v>
      </c>
      <c r="E1413" s="8" t="s">
        <v>8293</v>
      </c>
      <c r="F1413" s="8" t="s">
        <v>8294</v>
      </c>
      <c r="G1413" s="6" t="s">
        <v>38</v>
      </c>
      <c r="H1413" s="6" t="s">
        <v>1019</v>
      </c>
      <c r="I1413" s="8" t="s">
        <v>1020</v>
      </c>
      <c r="J1413" s="9">
        <v>1</v>
      </c>
      <c r="K1413" s="9">
        <v>166</v>
      </c>
      <c r="L1413" s="9">
        <v>2024</v>
      </c>
      <c r="M1413" s="8" t="s">
        <v>8295</v>
      </c>
      <c r="N1413" s="8" t="s">
        <v>284</v>
      </c>
      <c r="O1413" s="8" t="s">
        <v>285</v>
      </c>
      <c r="P1413" s="6" t="s">
        <v>44</v>
      </c>
      <c r="Q1413" s="8" t="s">
        <v>45</v>
      </c>
      <c r="R1413" s="10" t="s">
        <v>8296</v>
      </c>
      <c r="S1413" s="11"/>
      <c r="T1413" s="6"/>
      <c r="U1413" s="24" t="str">
        <f>HYPERLINK("https://media.infra-m.ru/2091/2091885/cover/2091885.jpg", "Обложка")</f>
        <v>Обложка</v>
      </c>
      <c r="V1413" s="24" t="str">
        <f>HYPERLINK("https://znanium.ru/catalog/product/1062005", "Ознакомиться")</f>
        <v>Ознакомиться</v>
      </c>
      <c r="W1413" s="8" t="s">
        <v>176</v>
      </c>
      <c r="X1413" s="6"/>
      <c r="Y1413" s="6"/>
      <c r="Z1413" s="6"/>
      <c r="AA1413" s="6" t="s">
        <v>339</v>
      </c>
      <c r="AB1413" s="8"/>
    </row>
    <row r="1414" spans="1:28" s="4" customFormat="1" ht="42" customHeight="1">
      <c r="A1414" s="5">
        <v>0</v>
      </c>
      <c r="B1414" s="6" t="s">
        <v>8297</v>
      </c>
      <c r="C1414" s="7">
        <v>1386</v>
      </c>
      <c r="D1414" s="8" t="s">
        <v>8298</v>
      </c>
      <c r="E1414" s="8" t="s">
        <v>8299</v>
      </c>
      <c r="F1414" s="8" t="s">
        <v>8300</v>
      </c>
      <c r="G1414" s="6" t="s">
        <v>132</v>
      </c>
      <c r="H1414" s="6" t="s">
        <v>99</v>
      </c>
      <c r="I1414" s="8"/>
      <c r="J1414" s="9">
        <v>1</v>
      </c>
      <c r="K1414" s="9">
        <v>160</v>
      </c>
      <c r="L1414" s="9">
        <v>2023</v>
      </c>
      <c r="M1414" s="8" t="s">
        <v>8301</v>
      </c>
      <c r="N1414" s="8" t="s">
        <v>42</v>
      </c>
      <c r="O1414" s="8" t="s">
        <v>101</v>
      </c>
      <c r="P1414" s="6" t="s">
        <v>44</v>
      </c>
      <c r="Q1414" s="8" t="s">
        <v>45</v>
      </c>
      <c r="R1414" s="10" t="s">
        <v>8302</v>
      </c>
      <c r="S1414" s="11"/>
      <c r="T1414" s="6"/>
      <c r="U1414" s="24" t="str">
        <f>HYPERLINK("https://media.infra-m.ru/2088/2088676/cover/2088676.jpg", "Обложка")</f>
        <v>Обложка</v>
      </c>
      <c r="V1414" s="24" t="str">
        <f>HYPERLINK("https://znanium.ru/catalog/product/2068208", "Ознакомиться")</f>
        <v>Ознакомиться</v>
      </c>
      <c r="W1414" s="8" t="s">
        <v>846</v>
      </c>
      <c r="X1414" s="6"/>
      <c r="Y1414" s="6"/>
      <c r="Z1414" s="6"/>
      <c r="AA1414" s="6" t="s">
        <v>119</v>
      </c>
      <c r="AB1414" s="8"/>
    </row>
    <row r="1415" spans="1:28" s="4" customFormat="1" ht="44.1" customHeight="1">
      <c r="A1415" s="5">
        <v>0</v>
      </c>
      <c r="B1415" s="6" t="s">
        <v>8303</v>
      </c>
      <c r="C1415" s="7">
        <v>1344</v>
      </c>
      <c r="D1415" s="8" t="s">
        <v>8304</v>
      </c>
      <c r="E1415" s="8" t="s">
        <v>8305</v>
      </c>
      <c r="F1415" s="8" t="s">
        <v>4526</v>
      </c>
      <c r="G1415" s="6" t="s">
        <v>132</v>
      </c>
      <c r="H1415" s="6" t="s">
        <v>39</v>
      </c>
      <c r="I1415" s="8" t="s">
        <v>40</v>
      </c>
      <c r="J1415" s="9">
        <v>1</v>
      </c>
      <c r="K1415" s="9">
        <v>225</v>
      </c>
      <c r="L1415" s="9">
        <v>2023</v>
      </c>
      <c r="M1415" s="8" t="s">
        <v>8306</v>
      </c>
      <c r="N1415" s="8" t="s">
        <v>220</v>
      </c>
      <c r="O1415" s="8" t="s">
        <v>296</v>
      </c>
      <c r="P1415" s="6" t="s">
        <v>44</v>
      </c>
      <c r="Q1415" s="8" t="s">
        <v>45</v>
      </c>
      <c r="R1415" s="10" t="s">
        <v>8307</v>
      </c>
      <c r="S1415" s="11"/>
      <c r="T1415" s="6"/>
      <c r="U1415" s="24" t="str">
        <f>HYPERLINK("https://media.infra-m.ru/1915/1915812/cover/1915812.jpg", "Обложка")</f>
        <v>Обложка</v>
      </c>
      <c r="V1415" s="24" t="str">
        <f>HYPERLINK("https://znanium.ru/catalog/product/1915812", "Ознакомиться")</f>
        <v>Ознакомиться</v>
      </c>
      <c r="W1415" s="8" t="s">
        <v>289</v>
      </c>
      <c r="X1415" s="6"/>
      <c r="Y1415" s="6"/>
      <c r="Z1415" s="6"/>
      <c r="AA1415" s="6" t="s">
        <v>119</v>
      </c>
      <c r="AB1415" s="8" t="s">
        <v>613</v>
      </c>
    </row>
    <row r="1416" spans="1:28" s="4" customFormat="1" ht="44.1" customHeight="1">
      <c r="A1416" s="5">
        <v>0</v>
      </c>
      <c r="B1416" s="6" t="s">
        <v>8308</v>
      </c>
      <c r="C1416" s="7">
        <v>1241.9000000000001</v>
      </c>
      <c r="D1416" s="8" t="s">
        <v>8309</v>
      </c>
      <c r="E1416" s="8" t="s">
        <v>8310</v>
      </c>
      <c r="F1416" s="8" t="s">
        <v>8311</v>
      </c>
      <c r="G1416" s="6" t="s">
        <v>132</v>
      </c>
      <c r="H1416" s="6" t="s">
        <v>39</v>
      </c>
      <c r="I1416" s="8" t="s">
        <v>40</v>
      </c>
      <c r="J1416" s="9">
        <v>1</v>
      </c>
      <c r="K1416" s="9">
        <v>230</v>
      </c>
      <c r="L1416" s="9">
        <v>2023</v>
      </c>
      <c r="M1416" s="8" t="s">
        <v>8312</v>
      </c>
      <c r="N1416" s="8" t="s">
        <v>284</v>
      </c>
      <c r="O1416" s="8" t="s">
        <v>717</v>
      </c>
      <c r="P1416" s="6" t="s">
        <v>44</v>
      </c>
      <c r="Q1416" s="8" t="s">
        <v>45</v>
      </c>
      <c r="R1416" s="10" t="s">
        <v>8313</v>
      </c>
      <c r="S1416" s="11"/>
      <c r="T1416" s="6"/>
      <c r="U1416" s="24" t="str">
        <f>HYPERLINK("https://media.infra-m.ru/1976/1976152/cover/1976152.jpg", "Обложка")</f>
        <v>Обложка</v>
      </c>
      <c r="V1416" s="24" t="str">
        <f>HYPERLINK("https://znanium.ru/catalog/product/1020785", "Ознакомиться")</f>
        <v>Ознакомиться</v>
      </c>
      <c r="W1416" s="8" t="s">
        <v>747</v>
      </c>
      <c r="X1416" s="6"/>
      <c r="Y1416" s="6"/>
      <c r="Z1416" s="6"/>
      <c r="AA1416" s="6" t="s">
        <v>168</v>
      </c>
      <c r="AB1416" s="8"/>
    </row>
    <row r="1417" spans="1:28" s="4" customFormat="1" ht="51.95" customHeight="1">
      <c r="A1417" s="5">
        <v>0</v>
      </c>
      <c r="B1417" s="6" t="s">
        <v>8314</v>
      </c>
      <c r="C1417" s="7">
        <v>1476</v>
      </c>
      <c r="D1417" s="8" t="s">
        <v>8315</v>
      </c>
      <c r="E1417" s="8" t="s">
        <v>8316</v>
      </c>
      <c r="F1417" s="8" t="s">
        <v>8317</v>
      </c>
      <c r="G1417" s="6" t="s">
        <v>38</v>
      </c>
      <c r="H1417" s="6" t="s">
        <v>182</v>
      </c>
      <c r="I1417" s="8" t="s">
        <v>40</v>
      </c>
      <c r="J1417" s="9">
        <v>1</v>
      </c>
      <c r="K1417" s="9">
        <v>246</v>
      </c>
      <c r="L1417" s="9">
        <v>2025</v>
      </c>
      <c r="M1417" s="8" t="s">
        <v>8318</v>
      </c>
      <c r="N1417" s="8" t="s">
        <v>54</v>
      </c>
      <c r="O1417" s="8" t="s">
        <v>91</v>
      </c>
      <c r="P1417" s="6" t="s">
        <v>44</v>
      </c>
      <c r="Q1417" s="8" t="s">
        <v>45</v>
      </c>
      <c r="R1417" s="10" t="s">
        <v>8319</v>
      </c>
      <c r="S1417" s="11"/>
      <c r="T1417" s="6"/>
      <c r="U1417" s="24" t="str">
        <f>HYPERLINK("https://media.infra-m.ru/2119/2119940/cover/2119940.jpg", "Обложка")</f>
        <v>Обложка</v>
      </c>
      <c r="V1417" s="24" t="str">
        <f>HYPERLINK("https://znanium.ru/catalog/product/2119940", "Ознакомиться")</f>
        <v>Ознакомиться</v>
      </c>
      <c r="W1417" s="8" t="s">
        <v>1594</v>
      </c>
      <c r="X1417" s="6"/>
      <c r="Y1417" s="6"/>
      <c r="Z1417" s="6"/>
      <c r="AA1417" s="6" t="s">
        <v>377</v>
      </c>
      <c r="AB1417" s="8"/>
    </row>
    <row r="1418" spans="1:28" s="4" customFormat="1" ht="51.95" customHeight="1">
      <c r="A1418" s="5">
        <v>0</v>
      </c>
      <c r="B1418" s="6" t="s">
        <v>8320</v>
      </c>
      <c r="C1418" s="7">
        <v>1032</v>
      </c>
      <c r="D1418" s="8" t="s">
        <v>8321</v>
      </c>
      <c r="E1418" s="8" t="s">
        <v>8322</v>
      </c>
      <c r="F1418" s="8" t="s">
        <v>8317</v>
      </c>
      <c r="G1418" s="6" t="s">
        <v>38</v>
      </c>
      <c r="H1418" s="6" t="s">
        <v>182</v>
      </c>
      <c r="I1418" s="8" t="s">
        <v>40</v>
      </c>
      <c r="J1418" s="9">
        <v>1</v>
      </c>
      <c r="K1418" s="9">
        <v>191</v>
      </c>
      <c r="L1418" s="9">
        <v>2023</v>
      </c>
      <c r="M1418" s="8" t="s">
        <v>8323</v>
      </c>
      <c r="N1418" s="8" t="s">
        <v>54</v>
      </c>
      <c r="O1418" s="8" t="s">
        <v>91</v>
      </c>
      <c r="P1418" s="6" t="s">
        <v>44</v>
      </c>
      <c r="Q1418" s="8" t="s">
        <v>1152</v>
      </c>
      <c r="R1418" s="10" t="s">
        <v>8324</v>
      </c>
      <c r="S1418" s="11"/>
      <c r="T1418" s="6"/>
      <c r="U1418" s="24" t="str">
        <f>HYPERLINK("https://media.infra-m.ru/2005/2005203/cover/2005203.jpg", "Обложка")</f>
        <v>Обложка</v>
      </c>
      <c r="V1418" s="24" t="str">
        <f>HYPERLINK("https://znanium.ru/catalog/product/2005203", "Ознакомиться")</f>
        <v>Ознакомиться</v>
      </c>
      <c r="W1418" s="8" t="s">
        <v>1594</v>
      </c>
      <c r="X1418" s="6"/>
      <c r="Y1418" s="6"/>
      <c r="Z1418" s="6"/>
      <c r="AA1418" s="6" t="s">
        <v>277</v>
      </c>
      <c r="AB1418" s="8"/>
    </row>
    <row r="1419" spans="1:28" s="4" customFormat="1" ht="51.95" customHeight="1">
      <c r="A1419" s="5">
        <v>0</v>
      </c>
      <c r="B1419" s="6" t="s">
        <v>8325</v>
      </c>
      <c r="C1419" s="7">
        <v>1372.8</v>
      </c>
      <c r="D1419" s="8" t="s">
        <v>8326</v>
      </c>
      <c r="E1419" s="8" t="s">
        <v>8327</v>
      </c>
      <c r="F1419" s="8" t="s">
        <v>1649</v>
      </c>
      <c r="G1419" s="6" t="s">
        <v>38</v>
      </c>
      <c r="H1419" s="6" t="s">
        <v>39</v>
      </c>
      <c r="I1419" s="8" t="s">
        <v>40</v>
      </c>
      <c r="J1419" s="9">
        <v>1</v>
      </c>
      <c r="K1419" s="9">
        <v>209</v>
      </c>
      <c r="L1419" s="9">
        <v>2026</v>
      </c>
      <c r="M1419" s="8" t="s">
        <v>8328</v>
      </c>
      <c r="N1419" s="8" t="s">
        <v>229</v>
      </c>
      <c r="O1419" s="8" t="s">
        <v>230</v>
      </c>
      <c r="P1419" s="6" t="s">
        <v>44</v>
      </c>
      <c r="Q1419" s="8" t="s">
        <v>45</v>
      </c>
      <c r="R1419" s="10" t="s">
        <v>8329</v>
      </c>
      <c r="S1419" s="11"/>
      <c r="T1419" s="6"/>
      <c r="U1419" s="24" t="str">
        <f>HYPERLINK("https://media.infra-m.ru/2221/2221663/cover/2221663.jpg", "Обложка")</f>
        <v>Обложка</v>
      </c>
      <c r="V1419" s="24" t="str">
        <f>HYPERLINK("https://znanium.ru/catalog/product/1168573", "Ознакомиться")</f>
        <v>Ознакомиться</v>
      </c>
      <c r="W1419" s="8" t="s">
        <v>1575</v>
      </c>
      <c r="X1419" s="6"/>
      <c r="Y1419" s="6"/>
      <c r="Z1419" s="6"/>
      <c r="AA1419" s="6" t="s">
        <v>199</v>
      </c>
      <c r="AB1419" s="8"/>
    </row>
    <row r="1420" spans="1:28" s="4" customFormat="1" ht="51.95" customHeight="1">
      <c r="A1420" s="5">
        <v>0</v>
      </c>
      <c r="B1420" s="6" t="s">
        <v>8330</v>
      </c>
      <c r="C1420" s="7">
        <v>1140</v>
      </c>
      <c r="D1420" s="8" t="s">
        <v>8331</v>
      </c>
      <c r="E1420" s="8" t="s">
        <v>8332</v>
      </c>
      <c r="F1420" s="8" t="s">
        <v>8333</v>
      </c>
      <c r="G1420" s="6" t="s">
        <v>38</v>
      </c>
      <c r="H1420" s="6" t="s">
        <v>39</v>
      </c>
      <c r="I1420" s="8" t="s">
        <v>40</v>
      </c>
      <c r="J1420" s="9">
        <v>1</v>
      </c>
      <c r="K1420" s="9">
        <v>205</v>
      </c>
      <c r="L1420" s="9">
        <v>2024</v>
      </c>
      <c r="M1420" s="8" t="s">
        <v>8334</v>
      </c>
      <c r="N1420" s="8" t="s">
        <v>229</v>
      </c>
      <c r="O1420" s="8" t="s">
        <v>230</v>
      </c>
      <c r="P1420" s="6" t="s">
        <v>44</v>
      </c>
      <c r="Q1420" s="8" t="s">
        <v>45</v>
      </c>
      <c r="R1420" s="10" t="s">
        <v>4188</v>
      </c>
      <c r="S1420" s="11"/>
      <c r="T1420" s="6"/>
      <c r="U1420" s="24" t="str">
        <f>HYPERLINK("https://media.infra-m.ru/2074/2074346/cover/2074346.jpg", "Обложка")</f>
        <v>Обложка</v>
      </c>
      <c r="V1420" s="24" t="str">
        <f>HYPERLINK("https://znanium.ru/catalog/product/2074346", "Ознакомиться")</f>
        <v>Ознакомиться</v>
      </c>
      <c r="W1420" s="8" t="s">
        <v>8335</v>
      </c>
      <c r="X1420" s="6"/>
      <c r="Y1420" s="6"/>
      <c r="Z1420" s="6"/>
      <c r="AA1420" s="6" t="s">
        <v>68</v>
      </c>
      <c r="AB1420" s="8"/>
    </row>
    <row r="1421" spans="1:28" s="4" customFormat="1" ht="42" customHeight="1">
      <c r="A1421" s="5">
        <v>0</v>
      </c>
      <c r="B1421" s="6" t="s">
        <v>8336</v>
      </c>
      <c r="C1421" s="7">
        <v>1188</v>
      </c>
      <c r="D1421" s="8" t="s">
        <v>8337</v>
      </c>
      <c r="E1421" s="8" t="s">
        <v>8338</v>
      </c>
      <c r="F1421" s="8" t="s">
        <v>8339</v>
      </c>
      <c r="G1421" s="6" t="s">
        <v>132</v>
      </c>
      <c r="H1421" s="6" t="s">
        <v>39</v>
      </c>
      <c r="I1421" s="8" t="s">
        <v>40</v>
      </c>
      <c r="J1421" s="9">
        <v>1</v>
      </c>
      <c r="K1421" s="9">
        <v>215</v>
      </c>
      <c r="L1421" s="9">
        <v>2023</v>
      </c>
      <c r="M1421" s="8" t="s">
        <v>8340</v>
      </c>
      <c r="N1421" s="8" t="s">
        <v>229</v>
      </c>
      <c r="O1421" s="8" t="s">
        <v>230</v>
      </c>
      <c r="P1421" s="6" t="s">
        <v>44</v>
      </c>
      <c r="Q1421" s="8" t="s">
        <v>45</v>
      </c>
      <c r="R1421" s="10" t="s">
        <v>508</v>
      </c>
      <c r="S1421" s="11"/>
      <c r="T1421" s="6"/>
      <c r="U1421" s="24" t="str">
        <f>HYPERLINK("https://media.infra-m.ru/1938/1938061/cover/1938061.jpg", "Обложка")</f>
        <v>Обложка</v>
      </c>
      <c r="V1421" s="24" t="str">
        <f>HYPERLINK("https://znanium.ru/catalog/product/1938061", "Ознакомиться")</f>
        <v>Ознакомиться</v>
      </c>
      <c r="W1421" s="8" t="s">
        <v>8341</v>
      </c>
      <c r="X1421" s="6"/>
      <c r="Y1421" s="6"/>
      <c r="Z1421" s="6"/>
      <c r="AA1421" s="6" t="s">
        <v>119</v>
      </c>
      <c r="AB1421" s="8"/>
    </row>
    <row r="1422" spans="1:28" s="4" customFormat="1" ht="51.95" customHeight="1">
      <c r="A1422" s="5">
        <v>0</v>
      </c>
      <c r="B1422" s="6" t="s">
        <v>8342</v>
      </c>
      <c r="C1422" s="7">
        <v>1404</v>
      </c>
      <c r="D1422" s="8" t="s">
        <v>8343</v>
      </c>
      <c r="E1422" s="8" t="s">
        <v>8344</v>
      </c>
      <c r="F1422" s="8" t="s">
        <v>8345</v>
      </c>
      <c r="G1422" s="6" t="s">
        <v>81</v>
      </c>
      <c r="H1422" s="6" t="s">
        <v>39</v>
      </c>
      <c r="I1422" s="8" t="s">
        <v>828</v>
      </c>
      <c r="J1422" s="9">
        <v>1</v>
      </c>
      <c r="K1422" s="9">
        <v>224</v>
      </c>
      <c r="L1422" s="9">
        <v>2025</v>
      </c>
      <c r="M1422" s="8" t="s">
        <v>8346</v>
      </c>
      <c r="N1422" s="8" t="s">
        <v>229</v>
      </c>
      <c r="O1422" s="8" t="s">
        <v>230</v>
      </c>
      <c r="P1422" s="6" t="s">
        <v>659</v>
      </c>
      <c r="Q1422" s="8" t="s">
        <v>45</v>
      </c>
      <c r="R1422" s="10" t="s">
        <v>8347</v>
      </c>
      <c r="S1422" s="11"/>
      <c r="T1422" s="6"/>
      <c r="U1422" s="24" t="str">
        <f>HYPERLINK("https://media.infra-m.ru/2196/2196087/cover/2196087.jpg", "Обложка")</f>
        <v>Обложка</v>
      </c>
      <c r="V1422" s="24" t="str">
        <f>HYPERLINK("https://znanium.ru/catalog/product/2196087", "Ознакомиться")</f>
        <v>Ознакомиться</v>
      </c>
      <c r="W1422" s="8" t="s">
        <v>535</v>
      </c>
      <c r="X1422" s="6"/>
      <c r="Y1422" s="6"/>
      <c r="Z1422" s="6"/>
      <c r="AA1422" s="6" t="s">
        <v>339</v>
      </c>
      <c r="AB1422" s="8"/>
    </row>
    <row r="1423" spans="1:28" s="4" customFormat="1" ht="51.95" customHeight="1">
      <c r="A1423" s="5">
        <v>0</v>
      </c>
      <c r="B1423" s="6" t="s">
        <v>8348</v>
      </c>
      <c r="C1423" s="7">
        <v>1248</v>
      </c>
      <c r="D1423" s="8" t="s">
        <v>8349</v>
      </c>
      <c r="E1423" s="8" t="s">
        <v>8350</v>
      </c>
      <c r="F1423" s="8" t="s">
        <v>8351</v>
      </c>
      <c r="G1423" s="6" t="s">
        <v>132</v>
      </c>
      <c r="H1423" s="6" t="s">
        <v>39</v>
      </c>
      <c r="I1423" s="8" t="s">
        <v>828</v>
      </c>
      <c r="J1423" s="9">
        <v>1</v>
      </c>
      <c r="K1423" s="9">
        <v>186</v>
      </c>
      <c r="L1423" s="9">
        <v>2025</v>
      </c>
      <c r="M1423" s="8" t="s">
        <v>8352</v>
      </c>
      <c r="N1423" s="8" t="s">
        <v>229</v>
      </c>
      <c r="O1423" s="8" t="s">
        <v>230</v>
      </c>
      <c r="P1423" s="6" t="s">
        <v>659</v>
      </c>
      <c r="Q1423" s="8" t="s">
        <v>287</v>
      </c>
      <c r="R1423" s="10" t="s">
        <v>8353</v>
      </c>
      <c r="S1423" s="11"/>
      <c r="T1423" s="6"/>
      <c r="U1423" s="24" t="str">
        <f>HYPERLINK("https://media.infra-m.ru/2157/2157181/cover/2157181.jpg", "Обложка")</f>
        <v>Обложка</v>
      </c>
      <c r="V1423" s="24" t="str">
        <f>HYPERLINK("https://znanium.ru/catalog/product/2157181", "Ознакомиться")</f>
        <v>Ознакомиться</v>
      </c>
      <c r="W1423" s="8" t="s">
        <v>1861</v>
      </c>
      <c r="X1423" s="6" t="s">
        <v>306</v>
      </c>
      <c r="Y1423" s="6"/>
      <c r="Z1423" s="6"/>
      <c r="AA1423" s="6" t="s">
        <v>159</v>
      </c>
      <c r="AB1423" s="8"/>
    </row>
    <row r="1424" spans="1:28" s="4" customFormat="1" ht="33" customHeight="1">
      <c r="A1424" s="5">
        <v>0</v>
      </c>
      <c r="B1424" s="6" t="s">
        <v>8354</v>
      </c>
      <c r="C1424" s="13">
        <v>479.9</v>
      </c>
      <c r="D1424" s="8" t="s">
        <v>8355</v>
      </c>
      <c r="E1424" s="8" t="s">
        <v>8356</v>
      </c>
      <c r="F1424" s="8" t="s">
        <v>8357</v>
      </c>
      <c r="G1424" s="6"/>
      <c r="H1424" s="6" t="s">
        <v>3397</v>
      </c>
      <c r="I1424" s="8" t="s">
        <v>8358</v>
      </c>
      <c r="J1424" s="9">
        <v>12</v>
      </c>
      <c r="K1424" s="9">
        <v>384</v>
      </c>
      <c r="L1424" s="9">
        <v>2008</v>
      </c>
      <c r="M1424" s="8" t="s">
        <v>8359</v>
      </c>
      <c r="N1424" s="8" t="s">
        <v>284</v>
      </c>
      <c r="O1424" s="8" t="s">
        <v>717</v>
      </c>
      <c r="P1424" s="6" t="s">
        <v>286</v>
      </c>
      <c r="Q1424" s="8" t="s">
        <v>45</v>
      </c>
      <c r="R1424" s="10"/>
      <c r="S1424" s="11"/>
      <c r="T1424" s="6"/>
      <c r="U1424" s="12"/>
      <c r="V1424" s="12"/>
      <c r="W1424" s="8" t="s">
        <v>8360</v>
      </c>
      <c r="X1424" s="6"/>
      <c r="Y1424" s="6"/>
      <c r="Z1424" s="6"/>
      <c r="AA1424" s="6" t="s">
        <v>5215</v>
      </c>
      <c r="AB1424" s="8"/>
    </row>
    <row r="1425" spans="1:28" s="4" customFormat="1" ht="44.1" customHeight="1">
      <c r="A1425" s="5">
        <v>0</v>
      </c>
      <c r="B1425" s="6" t="s">
        <v>8361</v>
      </c>
      <c r="C1425" s="7">
        <v>1044</v>
      </c>
      <c r="D1425" s="8" t="s">
        <v>8362</v>
      </c>
      <c r="E1425" s="8" t="s">
        <v>8363</v>
      </c>
      <c r="F1425" s="8" t="s">
        <v>8364</v>
      </c>
      <c r="G1425" s="6" t="s">
        <v>38</v>
      </c>
      <c r="H1425" s="6" t="s">
        <v>39</v>
      </c>
      <c r="I1425" s="8" t="s">
        <v>336</v>
      </c>
      <c r="J1425" s="9">
        <v>1</v>
      </c>
      <c r="K1425" s="9">
        <v>240</v>
      </c>
      <c r="L1425" s="9">
        <v>2021</v>
      </c>
      <c r="M1425" s="8" t="s">
        <v>8365</v>
      </c>
      <c r="N1425" s="8" t="s">
        <v>42</v>
      </c>
      <c r="O1425" s="8" t="s">
        <v>101</v>
      </c>
      <c r="P1425" s="6" t="s">
        <v>44</v>
      </c>
      <c r="Q1425" s="8" t="s">
        <v>45</v>
      </c>
      <c r="R1425" s="10" t="s">
        <v>3738</v>
      </c>
      <c r="S1425" s="11"/>
      <c r="T1425" s="6"/>
      <c r="U1425" s="24" t="str">
        <f>HYPERLINK("https://media.infra-m.ru/1227/1227527/cover/1227527.jpg", "Обложка")</f>
        <v>Обложка</v>
      </c>
      <c r="V1425" s="24" t="str">
        <f>HYPERLINK("https://znanium.ru/catalog/product/1227527", "Ознакомиться")</f>
        <v>Ознакомиться</v>
      </c>
      <c r="W1425" s="8" t="s">
        <v>103</v>
      </c>
      <c r="X1425" s="6"/>
      <c r="Y1425" s="6"/>
      <c r="Z1425" s="6"/>
      <c r="AA1425" s="6" t="s">
        <v>369</v>
      </c>
      <c r="AB1425" s="8"/>
    </row>
    <row r="1426" spans="1:28" s="4" customFormat="1" ht="44.1" customHeight="1">
      <c r="A1426" s="5">
        <v>0</v>
      </c>
      <c r="B1426" s="6" t="s">
        <v>8366</v>
      </c>
      <c r="C1426" s="13">
        <v>633.6</v>
      </c>
      <c r="D1426" s="8" t="s">
        <v>8367</v>
      </c>
      <c r="E1426" s="8" t="s">
        <v>8368</v>
      </c>
      <c r="F1426" s="8" t="s">
        <v>8369</v>
      </c>
      <c r="G1426" s="6" t="s">
        <v>38</v>
      </c>
      <c r="H1426" s="6" t="s">
        <v>99</v>
      </c>
      <c r="I1426" s="8"/>
      <c r="J1426" s="9">
        <v>1</v>
      </c>
      <c r="K1426" s="9">
        <v>84</v>
      </c>
      <c r="L1426" s="9">
        <v>2024</v>
      </c>
      <c r="M1426" s="8" t="s">
        <v>8370</v>
      </c>
      <c r="N1426" s="8" t="s">
        <v>42</v>
      </c>
      <c r="O1426" s="8" t="s">
        <v>101</v>
      </c>
      <c r="P1426" s="6" t="s">
        <v>44</v>
      </c>
      <c r="Q1426" s="8" t="s">
        <v>45</v>
      </c>
      <c r="R1426" s="10" t="s">
        <v>8371</v>
      </c>
      <c r="S1426" s="11"/>
      <c r="T1426" s="6"/>
      <c r="U1426" s="24" t="str">
        <f>HYPERLINK("https://media.infra-m.ru/2124/2124910/cover/2124910.jpg", "Обложка")</f>
        <v>Обложка</v>
      </c>
      <c r="V1426" s="24" t="str">
        <f>HYPERLINK("https://znanium.ru/catalog/product/2106209", "Ознакомиться")</f>
        <v>Ознакомиться</v>
      </c>
      <c r="W1426" s="8" t="s">
        <v>103</v>
      </c>
      <c r="X1426" s="6"/>
      <c r="Y1426" s="6"/>
      <c r="Z1426" s="6"/>
      <c r="AA1426" s="6" t="s">
        <v>58</v>
      </c>
      <c r="AB1426" s="8"/>
    </row>
    <row r="1427" spans="1:28" s="4" customFormat="1" ht="51.95" customHeight="1">
      <c r="A1427" s="5">
        <v>0</v>
      </c>
      <c r="B1427" s="6" t="s">
        <v>8372</v>
      </c>
      <c r="C1427" s="13">
        <v>804</v>
      </c>
      <c r="D1427" s="8" t="s">
        <v>8373</v>
      </c>
      <c r="E1427" s="8" t="s">
        <v>8374</v>
      </c>
      <c r="F1427" s="8" t="s">
        <v>8375</v>
      </c>
      <c r="G1427" s="6" t="s">
        <v>38</v>
      </c>
      <c r="H1427" s="6" t="s">
        <v>39</v>
      </c>
      <c r="I1427" s="8" t="s">
        <v>40</v>
      </c>
      <c r="J1427" s="9">
        <v>1</v>
      </c>
      <c r="K1427" s="9">
        <v>128</v>
      </c>
      <c r="L1427" s="9">
        <v>2025</v>
      </c>
      <c r="M1427" s="8" t="s">
        <v>8376</v>
      </c>
      <c r="N1427" s="8" t="s">
        <v>284</v>
      </c>
      <c r="O1427" s="8" t="s">
        <v>285</v>
      </c>
      <c r="P1427" s="6" t="s">
        <v>44</v>
      </c>
      <c r="Q1427" s="8" t="s">
        <v>45</v>
      </c>
      <c r="R1427" s="10" t="s">
        <v>8377</v>
      </c>
      <c r="S1427" s="11"/>
      <c r="T1427" s="6"/>
      <c r="U1427" s="24" t="str">
        <f>HYPERLINK("https://media.infra-m.ru/2184/2184877/cover/2184877.jpg", "Обложка")</f>
        <v>Обложка</v>
      </c>
      <c r="V1427" s="24" t="str">
        <f>HYPERLINK("https://znanium.ru/catalog/product/2184877", "Ознакомиться")</f>
        <v>Ознакомиться</v>
      </c>
      <c r="W1427" s="8" t="s">
        <v>8378</v>
      </c>
      <c r="X1427" s="6"/>
      <c r="Y1427" s="6"/>
      <c r="Z1427" s="6"/>
      <c r="AA1427" s="6" t="s">
        <v>377</v>
      </c>
      <c r="AB1427" s="8"/>
    </row>
    <row r="1428" spans="1:28" s="4" customFormat="1" ht="42" customHeight="1">
      <c r="A1428" s="5">
        <v>0</v>
      </c>
      <c r="B1428" s="6" t="s">
        <v>8379</v>
      </c>
      <c r="C1428" s="13">
        <v>564</v>
      </c>
      <c r="D1428" s="8" t="s">
        <v>8380</v>
      </c>
      <c r="E1428" s="8" t="s">
        <v>8381</v>
      </c>
      <c r="F1428" s="8" t="s">
        <v>8382</v>
      </c>
      <c r="G1428" s="6" t="s">
        <v>38</v>
      </c>
      <c r="H1428" s="6" t="s">
        <v>182</v>
      </c>
      <c r="I1428" s="8"/>
      <c r="J1428" s="9">
        <v>1</v>
      </c>
      <c r="K1428" s="9">
        <v>115</v>
      </c>
      <c r="L1428" s="9">
        <v>2021</v>
      </c>
      <c r="M1428" s="8" t="s">
        <v>8383</v>
      </c>
      <c r="N1428" s="8" t="s">
        <v>284</v>
      </c>
      <c r="O1428" s="8" t="s">
        <v>285</v>
      </c>
      <c r="P1428" s="6" t="s">
        <v>44</v>
      </c>
      <c r="Q1428" s="8" t="s">
        <v>45</v>
      </c>
      <c r="R1428" s="10" t="s">
        <v>8384</v>
      </c>
      <c r="S1428" s="11"/>
      <c r="T1428" s="6"/>
      <c r="U1428" s="24" t="str">
        <f>HYPERLINK("https://media.infra-m.ru/1244/1244225/cover/1244225.jpg", "Обложка")</f>
        <v>Обложка</v>
      </c>
      <c r="V1428" s="24" t="str">
        <f>HYPERLINK("https://znanium.ru/catalog/product/1244225", "Ознакомиться")</f>
        <v>Ознакомиться</v>
      </c>
      <c r="W1428" s="8" t="s">
        <v>4768</v>
      </c>
      <c r="X1428" s="6"/>
      <c r="Y1428" s="6"/>
      <c r="Z1428" s="6"/>
      <c r="AA1428" s="6" t="s">
        <v>68</v>
      </c>
      <c r="AB1428" s="8"/>
    </row>
    <row r="1429" spans="1:28" s="4" customFormat="1" ht="51.95" customHeight="1">
      <c r="A1429" s="5">
        <v>0</v>
      </c>
      <c r="B1429" s="6" t="s">
        <v>8385</v>
      </c>
      <c r="C1429" s="7">
        <v>1420.8</v>
      </c>
      <c r="D1429" s="8" t="s">
        <v>8386</v>
      </c>
      <c r="E1429" s="8" t="s">
        <v>8387</v>
      </c>
      <c r="F1429" s="8" t="s">
        <v>8388</v>
      </c>
      <c r="G1429" s="6" t="s">
        <v>38</v>
      </c>
      <c r="H1429" s="6" t="s">
        <v>39</v>
      </c>
      <c r="I1429" s="8" t="s">
        <v>40</v>
      </c>
      <c r="J1429" s="9">
        <v>1</v>
      </c>
      <c r="K1429" s="9">
        <v>256</v>
      </c>
      <c r="L1429" s="9">
        <v>2023</v>
      </c>
      <c r="M1429" s="8" t="s">
        <v>8389</v>
      </c>
      <c r="N1429" s="8" t="s">
        <v>284</v>
      </c>
      <c r="O1429" s="8" t="s">
        <v>285</v>
      </c>
      <c r="P1429" s="6" t="s">
        <v>44</v>
      </c>
      <c r="Q1429" s="8" t="s">
        <v>45</v>
      </c>
      <c r="R1429" s="10" t="s">
        <v>8390</v>
      </c>
      <c r="S1429" s="11"/>
      <c r="T1429" s="6"/>
      <c r="U1429" s="24" t="str">
        <f>HYPERLINK("https://media.infra-m.ru/2054/2054123/cover/2054123.jpg", "Обложка")</f>
        <v>Обложка</v>
      </c>
      <c r="V1429" s="24" t="str">
        <f>HYPERLINK("https://znanium.ru/catalog/product/346195", "Ознакомиться")</f>
        <v>Ознакомиться</v>
      </c>
      <c r="W1429" s="8" t="s">
        <v>1945</v>
      </c>
      <c r="X1429" s="6"/>
      <c r="Y1429" s="6"/>
      <c r="Z1429" s="6"/>
      <c r="AA1429" s="6" t="s">
        <v>127</v>
      </c>
      <c r="AB1429" s="8"/>
    </row>
    <row r="1430" spans="1:28" s="4" customFormat="1" ht="42" customHeight="1">
      <c r="A1430" s="5">
        <v>0</v>
      </c>
      <c r="B1430" s="6" t="s">
        <v>8391</v>
      </c>
      <c r="C1430" s="7">
        <v>1344</v>
      </c>
      <c r="D1430" s="8" t="s">
        <v>8392</v>
      </c>
      <c r="E1430" s="8" t="s">
        <v>8393</v>
      </c>
      <c r="F1430" s="8" t="s">
        <v>8394</v>
      </c>
      <c r="G1430" s="6" t="s">
        <v>132</v>
      </c>
      <c r="H1430" s="6" t="s">
        <v>39</v>
      </c>
      <c r="I1430" s="8" t="s">
        <v>344</v>
      </c>
      <c r="J1430" s="9">
        <v>1</v>
      </c>
      <c r="K1430" s="9">
        <v>194</v>
      </c>
      <c r="L1430" s="9">
        <v>2026</v>
      </c>
      <c r="M1430" s="8" t="s">
        <v>8395</v>
      </c>
      <c r="N1430" s="8" t="s">
        <v>229</v>
      </c>
      <c r="O1430" s="8" t="s">
        <v>230</v>
      </c>
      <c r="P1430" s="6" t="s">
        <v>44</v>
      </c>
      <c r="Q1430" s="8" t="s">
        <v>45</v>
      </c>
      <c r="R1430" s="10" t="s">
        <v>8396</v>
      </c>
      <c r="S1430" s="11"/>
      <c r="T1430" s="6"/>
      <c r="U1430" s="24" t="str">
        <f>HYPERLINK("https://media.infra-m.ru/2222/2222621/cover/2222621.jpg", "Обложка")</f>
        <v>Обложка</v>
      </c>
      <c r="V1430" s="12"/>
      <c r="W1430" s="8" t="s">
        <v>346</v>
      </c>
      <c r="X1430" s="6" t="s">
        <v>1094</v>
      </c>
      <c r="Y1430" s="6"/>
      <c r="Z1430" s="6"/>
      <c r="AA1430" s="6" t="s">
        <v>833</v>
      </c>
      <c r="AB1430" s="8"/>
    </row>
    <row r="1431" spans="1:28" s="4" customFormat="1" ht="42" customHeight="1">
      <c r="A1431" s="5">
        <v>0</v>
      </c>
      <c r="B1431" s="6" t="s">
        <v>8397</v>
      </c>
      <c r="C1431" s="7">
        <v>1044</v>
      </c>
      <c r="D1431" s="8" t="s">
        <v>8398</v>
      </c>
      <c r="E1431" s="8" t="s">
        <v>8399</v>
      </c>
      <c r="F1431" s="8" t="s">
        <v>8400</v>
      </c>
      <c r="G1431" s="6" t="s">
        <v>38</v>
      </c>
      <c r="H1431" s="6" t="s">
        <v>39</v>
      </c>
      <c r="I1431" s="8" t="s">
        <v>40</v>
      </c>
      <c r="J1431" s="9">
        <v>1</v>
      </c>
      <c r="K1431" s="9">
        <v>174</v>
      </c>
      <c r="L1431" s="9">
        <v>2025</v>
      </c>
      <c r="M1431" s="8" t="s">
        <v>8401</v>
      </c>
      <c r="N1431" s="8" t="s">
        <v>42</v>
      </c>
      <c r="O1431" s="8" t="s">
        <v>43</v>
      </c>
      <c r="P1431" s="6" t="s">
        <v>44</v>
      </c>
      <c r="Q1431" s="8" t="s">
        <v>45</v>
      </c>
      <c r="R1431" s="10" t="s">
        <v>8402</v>
      </c>
      <c r="S1431" s="11"/>
      <c r="T1431" s="6"/>
      <c r="U1431" s="24" t="str">
        <f>HYPERLINK("https://media.infra-m.ru/2163/2163995/cover/2163995.jpg", "Обложка")</f>
        <v>Обложка</v>
      </c>
      <c r="V1431" s="24" t="str">
        <f>HYPERLINK("https://znanium.ru/catalog/product/2163995", "Ознакомиться")</f>
        <v>Ознакомиться</v>
      </c>
      <c r="W1431" s="8" t="s">
        <v>491</v>
      </c>
      <c r="X1431" s="6"/>
      <c r="Y1431" s="6"/>
      <c r="Z1431" s="6"/>
      <c r="AA1431" s="6" t="s">
        <v>290</v>
      </c>
      <c r="AB1431" s="8"/>
    </row>
    <row r="1432" spans="1:28" s="4" customFormat="1" ht="42" customHeight="1">
      <c r="A1432" s="5">
        <v>0</v>
      </c>
      <c r="B1432" s="6" t="s">
        <v>8403</v>
      </c>
      <c r="C1432" s="7">
        <v>2596.8000000000002</v>
      </c>
      <c r="D1432" s="8" t="s">
        <v>8404</v>
      </c>
      <c r="E1432" s="8" t="s">
        <v>8405</v>
      </c>
      <c r="F1432" s="8" t="s">
        <v>8406</v>
      </c>
      <c r="G1432" s="6" t="s">
        <v>38</v>
      </c>
      <c r="H1432" s="6" t="s">
        <v>39</v>
      </c>
      <c r="I1432" s="8" t="s">
        <v>40</v>
      </c>
      <c r="J1432" s="9">
        <v>1</v>
      </c>
      <c r="K1432" s="9">
        <v>430</v>
      </c>
      <c r="L1432" s="9">
        <v>2025</v>
      </c>
      <c r="M1432" s="8" t="s">
        <v>8407</v>
      </c>
      <c r="N1432" s="8" t="s">
        <v>54</v>
      </c>
      <c r="O1432" s="8" t="s">
        <v>55</v>
      </c>
      <c r="P1432" s="6" t="s">
        <v>44</v>
      </c>
      <c r="Q1432" s="8" t="s">
        <v>45</v>
      </c>
      <c r="R1432" s="10" t="s">
        <v>1487</v>
      </c>
      <c r="S1432" s="11"/>
      <c r="T1432" s="6"/>
      <c r="U1432" s="24" t="str">
        <f>HYPERLINK("https://media.infra-m.ru/2170/2170937/cover/2170937.jpg", "Обложка")</f>
        <v>Обложка</v>
      </c>
      <c r="V1432" s="24" t="str">
        <f>HYPERLINK("https://znanium.ru/catalog/product/2169308", "Ознакомиться")</f>
        <v>Ознакомиться</v>
      </c>
      <c r="W1432" s="8" t="s">
        <v>2872</v>
      </c>
      <c r="X1432" s="6"/>
      <c r="Y1432" s="6"/>
      <c r="Z1432" s="6"/>
      <c r="AA1432" s="6" t="s">
        <v>199</v>
      </c>
      <c r="AB1432" s="8"/>
    </row>
    <row r="1433" spans="1:28" s="4" customFormat="1" ht="42" customHeight="1">
      <c r="A1433" s="5">
        <v>0</v>
      </c>
      <c r="B1433" s="6" t="s">
        <v>8408</v>
      </c>
      <c r="C1433" s="13">
        <v>984</v>
      </c>
      <c r="D1433" s="8" t="s">
        <v>8409</v>
      </c>
      <c r="E1433" s="8" t="s">
        <v>8410</v>
      </c>
      <c r="F1433" s="8" t="s">
        <v>8411</v>
      </c>
      <c r="G1433" s="6" t="s">
        <v>38</v>
      </c>
      <c r="H1433" s="6" t="s">
        <v>39</v>
      </c>
      <c r="I1433" s="8" t="s">
        <v>40</v>
      </c>
      <c r="J1433" s="9">
        <v>1</v>
      </c>
      <c r="K1433" s="9">
        <v>166</v>
      </c>
      <c r="L1433" s="9">
        <v>2024</v>
      </c>
      <c r="M1433" s="8" t="s">
        <v>8412</v>
      </c>
      <c r="N1433" s="8" t="s">
        <v>42</v>
      </c>
      <c r="O1433" s="8" t="s">
        <v>189</v>
      </c>
      <c r="P1433" s="6" t="s">
        <v>44</v>
      </c>
      <c r="Q1433" s="8" t="s">
        <v>45</v>
      </c>
      <c r="R1433" s="10" t="s">
        <v>8413</v>
      </c>
      <c r="S1433" s="11"/>
      <c r="T1433" s="6"/>
      <c r="U1433" s="24" t="str">
        <f>HYPERLINK("https://media.infra-m.ru/2135/2135415/cover/2135415.jpg", "Обложка")</f>
        <v>Обложка</v>
      </c>
      <c r="V1433" s="24" t="str">
        <f>HYPERLINK("https://znanium.ru/catalog/product/2135415", "Ознакомиться")</f>
        <v>Ознакомиться</v>
      </c>
      <c r="W1433" s="8" t="s">
        <v>7159</v>
      </c>
      <c r="X1433" s="6"/>
      <c r="Y1433" s="6"/>
      <c r="Z1433" s="6"/>
      <c r="AA1433" s="6" t="s">
        <v>58</v>
      </c>
      <c r="AB1433" s="8"/>
    </row>
    <row r="1434" spans="1:28" s="4" customFormat="1" ht="51.95" customHeight="1">
      <c r="A1434" s="5">
        <v>0</v>
      </c>
      <c r="B1434" s="6" t="s">
        <v>8414</v>
      </c>
      <c r="C1434" s="13">
        <v>494.4</v>
      </c>
      <c r="D1434" s="8" t="s">
        <v>8415</v>
      </c>
      <c r="E1434" s="8" t="s">
        <v>8416</v>
      </c>
      <c r="F1434" s="8" t="s">
        <v>8417</v>
      </c>
      <c r="G1434" s="6" t="s">
        <v>38</v>
      </c>
      <c r="H1434" s="6" t="s">
        <v>99</v>
      </c>
      <c r="I1434" s="8"/>
      <c r="J1434" s="9">
        <v>1</v>
      </c>
      <c r="K1434" s="9">
        <v>60</v>
      </c>
      <c r="L1434" s="9">
        <v>2025</v>
      </c>
      <c r="M1434" s="8" t="s">
        <v>8418</v>
      </c>
      <c r="N1434" s="8" t="s">
        <v>42</v>
      </c>
      <c r="O1434" s="8" t="s">
        <v>101</v>
      </c>
      <c r="P1434" s="6" t="s">
        <v>44</v>
      </c>
      <c r="Q1434" s="8" t="s">
        <v>3884</v>
      </c>
      <c r="R1434" s="10" t="s">
        <v>390</v>
      </c>
      <c r="S1434" s="11"/>
      <c r="T1434" s="6"/>
      <c r="U1434" s="24" t="str">
        <f>HYPERLINK("https://media.infra-m.ru/2211/2211779/cover/2211779.jpg", "Обложка")</f>
        <v>Обложка</v>
      </c>
      <c r="V1434" s="24" t="str">
        <f>HYPERLINK("https://znanium.ru/catalog/product/2203144", "Ознакомиться")</f>
        <v>Ознакомиться</v>
      </c>
      <c r="W1434" s="8" t="s">
        <v>565</v>
      </c>
      <c r="X1434" s="6"/>
      <c r="Y1434" s="6"/>
      <c r="Z1434" s="6"/>
      <c r="AA1434" s="6" t="s">
        <v>159</v>
      </c>
      <c r="AB1434" s="8"/>
    </row>
    <row r="1435" spans="1:28" s="4" customFormat="1" ht="42" customHeight="1">
      <c r="A1435" s="5">
        <v>0</v>
      </c>
      <c r="B1435" s="6" t="s">
        <v>8419</v>
      </c>
      <c r="C1435" s="13">
        <v>857.9</v>
      </c>
      <c r="D1435" s="8" t="s">
        <v>8420</v>
      </c>
      <c r="E1435" s="8" t="s">
        <v>8421</v>
      </c>
      <c r="F1435" s="8" t="s">
        <v>8422</v>
      </c>
      <c r="G1435" s="6" t="s">
        <v>132</v>
      </c>
      <c r="H1435" s="6" t="s">
        <v>39</v>
      </c>
      <c r="I1435" s="8" t="s">
        <v>344</v>
      </c>
      <c r="J1435" s="9">
        <v>1</v>
      </c>
      <c r="K1435" s="9">
        <v>159</v>
      </c>
      <c r="L1435" s="9">
        <v>2023</v>
      </c>
      <c r="M1435" s="8" t="s">
        <v>8423</v>
      </c>
      <c r="N1435" s="8" t="s">
        <v>220</v>
      </c>
      <c r="O1435" s="8" t="s">
        <v>296</v>
      </c>
      <c r="P1435" s="6" t="s">
        <v>44</v>
      </c>
      <c r="Q1435" s="8" t="s">
        <v>45</v>
      </c>
      <c r="R1435" s="10" t="s">
        <v>8424</v>
      </c>
      <c r="S1435" s="11"/>
      <c r="T1435" s="6"/>
      <c r="U1435" s="24" t="str">
        <f>HYPERLINK("https://media.infra-m.ru/2006/2006890/cover/2006890.jpg", "Обложка")</f>
        <v>Обложка</v>
      </c>
      <c r="V1435" s="12"/>
      <c r="W1435" s="8" t="s">
        <v>346</v>
      </c>
      <c r="X1435" s="6"/>
      <c r="Y1435" s="6"/>
      <c r="Z1435" s="6"/>
      <c r="AA1435" s="6" t="s">
        <v>68</v>
      </c>
      <c r="AB1435" s="8"/>
    </row>
    <row r="1436" spans="1:28" s="4" customFormat="1" ht="51.95" customHeight="1">
      <c r="A1436" s="5">
        <v>0</v>
      </c>
      <c r="B1436" s="6" t="s">
        <v>8425</v>
      </c>
      <c r="C1436" s="13">
        <v>953.9</v>
      </c>
      <c r="D1436" s="8" t="s">
        <v>8426</v>
      </c>
      <c r="E1436" s="8" t="s">
        <v>8427</v>
      </c>
      <c r="F1436" s="8" t="s">
        <v>8428</v>
      </c>
      <c r="G1436" s="6" t="s">
        <v>132</v>
      </c>
      <c r="H1436" s="6" t="s">
        <v>39</v>
      </c>
      <c r="I1436" s="8" t="s">
        <v>40</v>
      </c>
      <c r="J1436" s="9">
        <v>1</v>
      </c>
      <c r="K1436" s="9">
        <v>204</v>
      </c>
      <c r="L1436" s="9">
        <v>2022</v>
      </c>
      <c r="M1436" s="8" t="s">
        <v>8429</v>
      </c>
      <c r="N1436" s="8" t="s">
        <v>284</v>
      </c>
      <c r="O1436" s="8" t="s">
        <v>285</v>
      </c>
      <c r="P1436" s="6" t="s">
        <v>44</v>
      </c>
      <c r="Q1436" s="8" t="s">
        <v>45</v>
      </c>
      <c r="R1436" s="10" t="s">
        <v>8430</v>
      </c>
      <c r="S1436" s="11"/>
      <c r="T1436" s="6"/>
      <c r="U1436" s="24" t="str">
        <f>HYPERLINK("https://media.infra-m.ru/1864/1864242/cover/1864242.jpg", "Обложка")</f>
        <v>Обложка</v>
      </c>
      <c r="V1436" s="24" t="str">
        <f>HYPERLINK("https://znanium.ru/catalog/product/951300", "Ознакомиться")</f>
        <v>Ознакомиться</v>
      </c>
      <c r="W1436" s="8" t="s">
        <v>8431</v>
      </c>
      <c r="X1436" s="6"/>
      <c r="Y1436" s="6"/>
      <c r="Z1436" s="6"/>
      <c r="AA1436" s="6" t="s">
        <v>369</v>
      </c>
      <c r="AB1436" s="8"/>
    </row>
    <row r="1437" spans="1:28" s="4" customFormat="1" ht="51.95" customHeight="1">
      <c r="A1437" s="5">
        <v>0</v>
      </c>
      <c r="B1437" s="6" t="s">
        <v>8432</v>
      </c>
      <c r="C1437" s="13">
        <v>353.9</v>
      </c>
      <c r="D1437" s="8" t="s">
        <v>8433</v>
      </c>
      <c r="E1437" s="8" t="s">
        <v>8434</v>
      </c>
      <c r="F1437" s="8" t="s">
        <v>6872</v>
      </c>
      <c r="G1437" s="6" t="s">
        <v>38</v>
      </c>
      <c r="H1437" s="6" t="s">
        <v>99</v>
      </c>
      <c r="I1437" s="8"/>
      <c r="J1437" s="9">
        <v>1</v>
      </c>
      <c r="K1437" s="9">
        <v>112</v>
      </c>
      <c r="L1437" s="9">
        <v>2018</v>
      </c>
      <c r="M1437" s="8" t="s">
        <v>8435</v>
      </c>
      <c r="N1437" s="8" t="s">
        <v>54</v>
      </c>
      <c r="O1437" s="8" t="s">
        <v>91</v>
      </c>
      <c r="P1437" s="6" t="s">
        <v>44</v>
      </c>
      <c r="Q1437" s="8" t="s">
        <v>45</v>
      </c>
      <c r="R1437" s="10" t="s">
        <v>3481</v>
      </c>
      <c r="S1437" s="11"/>
      <c r="T1437" s="6"/>
      <c r="U1437" s="24" t="str">
        <f>HYPERLINK("https://media.infra-m.ru/0969/0969941/cover/969941.jpg", "Обложка")</f>
        <v>Обложка</v>
      </c>
      <c r="V1437" s="24" t="str">
        <f>HYPERLINK("https://znanium.ru/catalog/product/2169238", "Ознакомиться")</f>
        <v>Ознакомиться</v>
      </c>
      <c r="W1437" s="8" t="s">
        <v>565</v>
      </c>
      <c r="X1437" s="6"/>
      <c r="Y1437" s="6"/>
      <c r="Z1437" s="6"/>
      <c r="AA1437" s="6" t="s">
        <v>377</v>
      </c>
      <c r="AB1437" s="8"/>
    </row>
    <row r="1438" spans="1:28" s="4" customFormat="1" ht="51.95" customHeight="1">
      <c r="A1438" s="5">
        <v>0</v>
      </c>
      <c r="B1438" s="6" t="s">
        <v>8436</v>
      </c>
      <c r="C1438" s="13">
        <v>672</v>
      </c>
      <c r="D1438" s="8" t="s">
        <v>8437</v>
      </c>
      <c r="E1438" s="8" t="s">
        <v>8438</v>
      </c>
      <c r="F1438" s="8" t="s">
        <v>2107</v>
      </c>
      <c r="G1438" s="6" t="s">
        <v>38</v>
      </c>
      <c r="H1438" s="6" t="s">
        <v>99</v>
      </c>
      <c r="I1438" s="8"/>
      <c r="J1438" s="9">
        <v>1</v>
      </c>
      <c r="K1438" s="9">
        <v>112</v>
      </c>
      <c r="L1438" s="9">
        <v>2025</v>
      </c>
      <c r="M1438" s="8" t="s">
        <v>8435</v>
      </c>
      <c r="N1438" s="8" t="s">
        <v>54</v>
      </c>
      <c r="O1438" s="8" t="s">
        <v>91</v>
      </c>
      <c r="P1438" s="6" t="s">
        <v>44</v>
      </c>
      <c r="Q1438" s="8" t="s">
        <v>45</v>
      </c>
      <c r="R1438" s="10" t="s">
        <v>3481</v>
      </c>
      <c r="S1438" s="11"/>
      <c r="T1438" s="6"/>
      <c r="U1438" s="24" t="str">
        <f>HYPERLINK("https://media.infra-m.ru/2169/2169238/cover/2169238.jpg", "Обложка")</f>
        <v>Обложка</v>
      </c>
      <c r="V1438" s="24" t="str">
        <f>HYPERLINK("https://znanium.ru/catalog/product/2169238", "Ознакомиться")</f>
        <v>Ознакомиться</v>
      </c>
      <c r="W1438" s="8" t="s">
        <v>565</v>
      </c>
      <c r="X1438" s="6"/>
      <c r="Y1438" s="6"/>
      <c r="Z1438" s="6"/>
      <c r="AA1438" s="6" t="s">
        <v>1530</v>
      </c>
      <c r="AB1438" s="8"/>
    </row>
    <row r="1439" spans="1:28" s="4" customFormat="1" ht="44.1" customHeight="1">
      <c r="A1439" s="5">
        <v>0</v>
      </c>
      <c r="B1439" s="6" t="s">
        <v>8439</v>
      </c>
      <c r="C1439" s="7">
        <v>1406.4</v>
      </c>
      <c r="D1439" s="8" t="s">
        <v>8440</v>
      </c>
      <c r="E1439" s="8" t="s">
        <v>8441</v>
      </c>
      <c r="F1439" s="8" t="s">
        <v>8442</v>
      </c>
      <c r="G1439" s="6" t="s">
        <v>81</v>
      </c>
      <c r="H1439" s="6" t="s">
        <v>39</v>
      </c>
      <c r="I1439" s="8" t="s">
        <v>344</v>
      </c>
      <c r="J1439" s="9">
        <v>1</v>
      </c>
      <c r="K1439" s="9">
        <v>173</v>
      </c>
      <c r="L1439" s="9">
        <v>2025</v>
      </c>
      <c r="M1439" s="8" t="s">
        <v>8443</v>
      </c>
      <c r="N1439" s="8" t="s">
        <v>284</v>
      </c>
      <c r="O1439" s="8" t="s">
        <v>2265</v>
      </c>
      <c r="P1439" s="6" t="s">
        <v>44</v>
      </c>
      <c r="Q1439" s="8" t="s">
        <v>45</v>
      </c>
      <c r="R1439" s="10" t="s">
        <v>8444</v>
      </c>
      <c r="S1439" s="11"/>
      <c r="T1439" s="6"/>
      <c r="U1439" s="24" t="str">
        <f>HYPERLINK("https://media.infra-m.ru/2204/2204584/cover/2204584.jpg", "Обложка")</f>
        <v>Обложка</v>
      </c>
      <c r="V1439" s="12"/>
      <c r="W1439" s="8" t="s">
        <v>346</v>
      </c>
      <c r="X1439" s="6"/>
      <c r="Y1439" s="6"/>
      <c r="Z1439" s="6"/>
      <c r="AA1439" s="6" t="s">
        <v>68</v>
      </c>
      <c r="AB1439" s="8"/>
    </row>
    <row r="1440" spans="1:28" s="4" customFormat="1" ht="42" customHeight="1">
      <c r="A1440" s="5">
        <v>0</v>
      </c>
      <c r="B1440" s="6" t="s">
        <v>8445</v>
      </c>
      <c r="C1440" s="7">
        <v>1248</v>
      </c>
      <c r="D1440" s="8" t="s">
        <v>8446</v>
      </c>
      <c r="E1440" s="8" t="s">
        <v>8447</v>
      </c>
      <c r="F1440" s="8" t="s">
        <v>8448</v>
      </c>
      <c r="G1440" s="6" t="s">
        <v>132</v>
      </c>
      <c r="H1440" s="6" t="s">
        <v>39</v>
      </c>
      <c r="I1440" s="8" t="s">
        <v>237</v>
      </c>
      <c r="J1440" s="9">
        <v>1</v>
      </c>
      <c r="K1440" s="9">
        <v>196</v>
      </c>
      <c r="L1440" s="9">
        <v>2025</v>
      </c>
      <c r="M1440" s="8" t="s">
        <v>8449</v>
      </c>
      <c r="N1440" s="8" t="s">
        <v>284</v>
      </c>
      <c r="O1440" s="8" t="s">
        <v>2265</v>
      </c>
      <c r="P1440" s="6" t="s">
        <v>286</v>
      </c>
      <c r="Q1440" s="8" t="s">
        <v>287</v>
      </c>
      <c r="R1440" s="10" t="s">
        <v>8450</v>
      </c>
      <c r="S1440" s="11"/>
      <c r="T1440" s="6"/>
      <c r="U1440" s="24" t="str">
        <f>HYPERLINK("https://media.infra-m.ru/2173/2173835/cover/2173835.jpg", "Обложка")</f>
        <v>Обложка</v>
      </c>
      <c r="V1440" s="24" t="str">
        <f>HYPERLINK("https://znanium.ru/catalog/product/2173835", "Ознакомиться")</f>
        <v>Ознакомиться</v>
      </c>
      <c r="W1440" s="8" t="s">
        <v>8451</v>
      </c>
      <c r="X1440" s="6" t="s">
        <v>517</v>
      </c>
      <c r="Y1440" s="6"/>
      <c r="Z1440" s="6"/>
      <c r="AA1440" s="6" t="s">
        <v>159</v>
      </c>
      <c r="AB1440" s="8"/>
    </row>
    <row r="1441" spans="1:28" s="4" customFormat="1" ht="51.95" customHeight="1">
      <c r="A1441" s="5">
        <v>0</v>
      </c>
      <c r="B1441" s="6" t="s">
        <v>8452</v>
      </c>
      <c r="C1441" s="7">
        <v>1560</v>
      </c>
      <c r="D1441" s="8" t="s">
        <v>8453</v>
      </c>
      <c r="E1441" s="8" t="s">
        <v>8454</v>
      </c>
      <c r="F1441" s="8" t="s">
        <v>8448</v>
      </c>
      <c r="G1441" s="6" t="s">
        <v>132</v>
      </c>
      <c r="H1441" s="6" t="s">
        <v>39</v>
      </c>
      <c r="I1441" s="8" t="s">
        <v>237</v>
      </c>
      <c r="J1441" s="9">
        <v>1</v>
      </c>
      <c r="K1441" s="9">
        <v>285</v>
      </c>
      <c r="L1441" s="9">
        <v>2023</v>
      </c>
      <c r="M1441" s="8" t="s">
        <v>8455</v>
      </c>
      <c r="N1441" s="8" t="s">
        <v>284</v>
      </c>
      <c r="O1441" s="8" t="s">
        <v>2265</v>
      </c>
      <c r="P1441" s="6" t="s">
        <v>286</v>
      </c>
      <c r="Q1441" s="8" t="s">
        <v>287</v>
      </c>
      <c r="R1441" s="10" t="s">
        <v>8456</v>
      </c>
      <c r="S1441" s="11"/>
      <c r="T1441" s="6"/>
      <c r="U1441" s="24" t="str">
        <f>HYPERLINK("https://media.infra-m.ru/1918/1918490/cover/1918490.jpg", "Обложка")</f>
        <v>Обложка</v>
      </c>
      <c r="V1441" s="24" t="str">
        <f>HYPERLINK("https://znanium.ru/catalog/product/1918490", "Ознакомиться")</f>
        <v>Ознакомиться</v>
      </c>
      <c r="W1441" s="8" t="s">
        <v>8451</v>
      </c>
      <c r="X1441" s="6"/>
      <c r="Y1441" s="6"/>
      <c r="Z1441" s="6"/>
      <c r="AA1441" s="6" t="s">
        <v>119</v>
      </c>
      <c r="AB1441" s="8"/>
    </row>
    <row r="1442" spans="1:28" s="4" customFormat="1" ht="44.1" customHeight="1">
      <c r="A1442" s="5">
        <v>0</v>
      </c>
      <c r="B1442" s="6" t="s">
        <v>8457</v>
      </c>
      <c r="C1442" s="13">
        <v>972</v>
      </c>
      <c r="D1442" s="8" t="s">
        <v>8458</v>
      </c>
      <c r="E1442" s="8" t="s">
        <v>8459</v>
      </c>
      <c r="F1442" s="8" t="s">
        <v>8448</v>
      </c>
      <c r="G1442" s="6" t="s">
        <v>132</v>
      </c>
      <c r="H1442" s="6" t="s">
        <v>39</v>
      </c>
      <c r="I1442" s="8"/>
      <c r="J1442" s="9">
        <v>1</v>
      </c>
      <c r="K1442" s="9">
        <v>178</v>
      </c>
      <c r="L1442" s="9">
        <v>2023</v>
      </c>
      <c r="M1442" s="8" t="s">
        <v>8460</v>
      </c>
      <c r="N1442" s="8" t="s">
        <v>284</v>
      </c>
      <c r="O1442" s="8" t="s">
        <v>2265</v>
      </c>
      <c r="P1442" s="6" t="s">
        <v>286</v>
      </c>
      <c r="Q1442" s="8" t="s">
        <v>287</v>
      </c>
      <c r="R1442" s="10" t="s">
        <v>8461</v>
      </c>
      <c r="S1442" s="11"/>
      <c r="T1442" s="6"/>
      <c r="U1442" s="24" t="str">
        <f>HYPERLINK("https://media.infra-m.ru/1939/1939108/cover/1939108.jpg", "Обложка")</f>
        <v>Обложка</v>
      </c>
      <c r="V1442" s="24" t="str">
        <f>HYPERLINK("https://znanium.ru/catalog/product/1939108", "Ознакомиться")</f>
        <v>Ознакомиться</v>
      </c>
      <c r="W1442" s="8" t="s">
        <v>8451</v>
      </c>
      <c r="X1442" s="6"/>
      <c r="Y1442" s="6"/>
      <c r="Z1442" s="6"/>
      <c r="AA1442" s="6" t="s">
        <v>119</v>
      </c>
      <c r="AB1442" s="8"/>
    </row>
    <row r="1443" spans="1:28" s="4" customFormat="1" ht="51.95" customHeight="1">
      <c r="A1443" s="5">
        <v>0</v>
      </c>
      <c r="B1443" s="6" t="s">
        <v>8462</v>
      </c>
      <c r="C1443" s="7">
        <v>1308</v>
      </c>
      <c r="D1443" s="8" t="s">
        <v>8463</v>
      </c>
      <c r="E1443" s="8" t="s">
        <v>8464</v>
      </c>
      <c r="F1443" s="8" t="s">
        <v>8448</v>
      </c>
      <c r="G1443" s="6" t="s">
        <v>81</v>
      </c>
      <c r="H1443" s="6" t="s">
        <v>39</v>
      </c>
      <c r="I1443" s="8" t="s">
        <v>237</v>
      </c>
      <c r="J1443" s="9">
        <v>1</v>
      </c>
      <c r="K1443" s="9">
        <v>238</v>
      </c>
      <c r="L1443" s="9">
        <v>2024</v>
      </c>
      <c r="M1443" s="8" t="s">
        <v>8465</v>
      </c>
      <c r="N1443" s="8" t="s">
        <v>284</v>
      </c>
      <c r="O1443" s="8" t="s">
        <v>2265</v>
      </c>
      <c r="P1443" s="6" t="s">
        <v>286</v>
      </c>
      <c r="Q1443" s="8" t="s">
        <v>287</v>
      </c>
      <c r="R1443" s="10" t="s">
        <v>8466</v>
      </c>
      <c r="S1443" s="11"/>
      <c r="T1443" s="6"/>
      <c r="U1443" s="24" t="str">
        <f>HYPERLINK("https://media.infra-m.ru/1921/1921397/cover/1921397.jpg", "Обложка")</f>
        <v>Обложка</v>
      </c>
      <c r="V1443" s="24" t="str">
        <f>HYPERLINK("https://znanium.ru/catalog/product/1843565", "Ознакомиться")</f>
        <v>Ознакомиться</v>
      </c>
      <c r="W1443" s="8" t="s">
        <v>8451</v>
      </c>
      <c r="X1443" s="6"/>
      <c r="Y1443" s="6"/>
      <c r="Z1443" s="6"/>
      <c r="AA1443" s="6" t="s">
        <v>76</v>
      </c>
      <c r="AB1443" s="8"/>
    </row>
    <row r="1444" spans="1:28" s="4" customFormat="1" ht="42" customHeight="1">
      <c r="A1444" s="5">
        <v>0</v>
      </c>
      <c r="B1444" s="6" t="s">
        <v>8467</v>
      </c>
      <c r="C1444" s="13">
        <v>528</v>
      </c>
      <c r="D1444" s="8" t="s">
        <v>8468</v>
      </c>
      <c r="E1444" s="8" t="s">
        <v>8469</v>
      </c>
      <c r="F1444" s="8" t="s">
        <v>8470</v>
      </c>
      <c r="G1444" s="6" t="s">
        <v>38</v>
      </c>
      <c r="H1444" s="6" t="s">
        <v>1019</v>
      </c>
      <c r="I1444" s="8" t="s">
        <v>1020</v>
      </c>
      <c r="J1444" s="9">
        <v>1</v>
      </c>
      <c r="K1444" s="9">
        <v>128</v>
      </c>
      <c r="L1444" s="9">
        <v>2019</v>
      </c>
      <c r="M1444" s="8" t="s">
        <v>8471</v>
      </c>
      <c r="N1444" s="8" t="s">
        <v>284</v>
      </c>
      <c r="O1444" s="8" t="s">
        <v>285</v>
      </c>
      <c r="P1444" s="6" t="s">
        <v>44</v>
      </c>
      <c r="Q1444" s="8" t="s">
        <v>45</v>
      </c>
      <c r="R1444" s="10" t="s">
        <v>8472</v>
      </c>
      <c r="S1444" s="11"/>
      <c r="T1444" s="6"/>
      <c r="U1444" s="24" t="str">
        <f>HYPERLINK("https://media.infra-m.ru/1028/1028201/cover/1028201.jpg", "Обложка")</f>
        <v>Обложка</v>
      </c>
      <c r="V1444" s="24" t="str">
        <f>HYPERLINK("https://znanium.ru/catalog/product/1028201", "Ознакомиться")</f>
        <v>Ознакомиться</v>
      </c>
      <c r="W1444" s="8" t="s">
        <v>176</v>
      </c>
      <c r="X1444" s="6"/>
      <c r="Y1444" s="6"/>
      <c r="Z1444" s="6"/>
      <c r="AA1444" s="6" t="s">
        <v>369</v>
      </c>
      <c r="AB1444" s="8"/>
    </row>
    <row r="1445" spans="1:28" s="4" customFormat="1" ht="51.95" customHeight="1">
      <c r="A1445" s="5">
        <v>0</v>
      </c>
      <c r="B1445" s="6" t="s">
        <v>8473</v>
      </c>
      <c r="C1445" s="7">
        <v>1860</v>
      </c>
      <c r="D1445" s="8" t="s">
        <v>8474</v>
      </c>
      <c r="E1445" s="8" t="s">
        <v>8475</v>
      </c>
      <c r="F1445" s="8" t="s">
        <v>8476</v>
      </c>
      <c r="G1445" s="6" t="s">
        <v>132</v>
      </c>
      <c r="H1445" s="6" t="s">
        <v>39</v>
      </c>
      <c r="I1445" s="8" t="s">
        <v>40</v>
      </c>
      <c r="J1445" s="9">
        <v>1</v>
      </c>
      <c r="K1445" s="9">
        <v>330</v>
      </c>
      <c r="L1445" s="9">
        <v>2024</v>
      </c>
      <c r="M1445" s="8" t="s">
        <v>8477</v>
      </c>
      <c r="N1445" s="8" t="s">
        <v>54</v>
      </c>
      <c r="O1445" s="8" t="s">
        <v>55</v>
      </c>
      <c r="P1445" s="6" t="s">
        <v>44</v>
      </c>
      <c r="Q1445" s="8" t="s">
        <v>45</v>
      </c>
      <c r="R1445" s="10" t="s">
        <v>8478</v>
      </c>
      <c r="S1445" s="11"/>
      <c r="T1445" s="6"/>
      <c r="U1445" s="24" t="str">
        <f>HYPERLINK("https://media.infra-m.ru/1986/1986683/cover/1986683.jpg", "Обложка")</f>
        <v>Обложка</v>
      </c>
      <c r="V1445" s="24" t="str">
        <f>HYPERLINK("https://znanium.ru/catalog/product/1986683", "Ознакомиться")</f>
        <v>Ознакомиться</v>
      </c>
      <c r="W1445" s="8" t="s">
        <v>191</v>
      </c>
      <c r="X1445" s="6"/>
      <c r="Y1445" s="6"/>
      <c r="Z1445" s="6"/>
      <c r="AA1445" s="6" t="s">
        <v>58</v>
      </c>
      <c r="AB1445" s="8"/>
    </row>
    <row r="1446" spans="1:28" s="4" customFormat="1" ht="51.95" customHeight="1">
      <c r="A1446" s="5">
        <v>0</v>
      </c>
      <c r="B1446" s="6" t="s">
        <v>8479</v>
      </c>
      <c r="C1446" s="7">
        <v>1044</v>
      </c>
      <c r="D1446" s="8" t="s">
        <v>8480</v>
      </c>
      <c r="E1446" s="8" t="s">
        <v>8481</v>
      </c>
      <c r="F1446" s="8" t="s">
        <v>8482</v>
      </c>
      <c r="G1446" s="6" t="s">
        <v>38</v>
      </c>
      <c r="H1446" s="6" t="s">
        <v>39</v>
      </c>
      <c r="I1446" s="8" t="s">
        <v>40</v>
      </c>
      <c r="J1446" s="9">
        <v>1</v>
      </c>
      <c r="K1446" s="9">
        <v>184</v>
      </c>
      <c r="L1446" s="9">
        <v>2024</v>
      </c>
      <c r="M1446" s="8" t="s">
        <v>8483</v>
      </c>
      <c r="N1446" s="8" t="s">
        <v>54</v>
      </c>
      <c r="O1446" s="8" t="s">
        <v>55</v>
      </c>
      <c r="P1446" s="6" t="s">
        <v>44</v>
      </c>
      <c r="Q1446" s="8" t="s">
        <v>45</v>
      </c>
      <c r="R1446" s="10" t="s">
        <v>8484</v>
      </c>
      <c r="S1446" s="11"/>
      <c r="T1446" s="6"/>
      <c r="U1446" s="24" t="str">
        <f>HYPERLINK("https://media.infra-m.ru/2149/2149631/cover/2149631.jpg", "Обложка")</f>
        <v>Обложка</v>
      </c>
      <c r="V1446" s="24" t="str">
        <f>HYPERLINK("https://znanium.ru/catalog/product/2149631", "Ознакомиться")</f>
        <v>Ознакомиться</v>
      </c>
      <c r="W1446" s="8" t="s">
        <v>8485</v>
      </c>
      <c r="X1446" s="6"/>
      <c r="Y1446" s="6"/>
      <c r="Z1446" s="6"/>
      <c r="AA1446" s="6" t="s">
        <v>68</v>
      </c>
      <c r="AB1446" s="8" t="s">
        <v>1902</v>
      </c>
    </row>
    <row r="1447" spans="1:28" s="4" customFormat="1" ht="42" customHeight="1">
      <c r="A1447" s="5">
        <v>0</v>
      </c>
      <c r="B1447" s="6" t="s">
        <v>8486</v>
      </c>
      <c r="C1447" s="7">
        <v>1356</v>
      </c>
      <c r="D1447" s="8" t="s">
        <v>8487</v>
      </c>
      <c r="E1447" s="8" t="s">
        <v>8488</v>
      </c>
      <c r="F1447" s="8" t="s">
        <v>8489</v>
      </c>
      <c r="G1447" s="6" t="s">
        <v>38</v>
      </c>
      <c r="H1447" s="6" t="s">
        <v>39</v>
      </c>
      <c r="I1447" s="8" t="s">
        <v>40</v>
      </c>
      <c r="J1447" s="9">
        <v>1</v>
      </c>
      <c r="K1447" s="9">
        <v>213</v>
      </c>
      <c r="L1447" s="9">
        <v>2025</v>
      </c>
      <c r="M1447" s="8" t="s">
        <v>8490</v>
      </c>
      <c r="N1447" s="8" t="s">
        <v>42</v>
      </c>
      <c r="O1447" s="8" t="s">
        <v>189</v>
      </c>
      <c r="P1447" s="6" t="s">
        <v>44</v>
      </c>
      <c r="Q1447" s="8" t="s">
        <v>45</v>
      </c>
      <c r="R1447" s="10" t="s">
        <v>573</v>
      </c>
      <c r="S1447" s="11"/>
      <c r="T1447" s="6"/>
      <c r="U1447" s="24" t="str">
        <f>HYPERLINK("https://media.infra-m.ru/2191/2191603/cover/2191603.jpg", "Обложка")</f>
        <v>Обложка</v>
      </c>
      <c r="V1447" s="24" t="str">
        <f>HYPERLINK("https://znanium.ru/catalog/product/2191603", "Ознакомиться")</f>
        <v>Ознакомиться</v>
      </c>
      <c r="W1447" s="8" t="s">
        <v>361</v>
      </c>
      <c r="X1447" s="6"/>
      <c r="Y1447" s="6"/>
      <c r="Z1447" s="6"/>
      <c r="AA1447" s="6" t="s">
        <v>369</v>
      </c>
      <c r="AB1447" s="8"/>
    </row>
    <row r="1448" spans="1:28" s="4" customFormat="1" ht="51.95" customHeight="1">
      <c r="A1448" s="5">
        <v>0</v>
      </c>
      <c r="B1448" s="6" t="s">
        <v>8491</v>
      </c>
      <c r="C1448" s="7">
        <v>1553.9</v>
      </c>
      <c r="D1448" s="8" t="s">
        <v>8492</v>
      </c>
      <c r="E1448" s="8" t="s">
        <v>8493</v>
      </c>
      <c r="F1448" s="8" t="s">
        <v>8494</v>
      </c>
      <c r="G1448" s="6" t="s">
        <v>38</v>
      </c>
      <c r="H1448" s="6" t="s">
        <v>39</v>
      </c>
      <c r="I1448" s="8" t="s">
        <v>40</v>
      </c>
      <c r="J1448" s="9">
        <v>1</v>
      </c>
      <c r="K1448" s="9">
        <v>286</v>
      </c>
      <c r="L1448" s="9">
        <v>2023</v>
      </c>
      <c r="M1448" s="8" t="s">
        <v>8495</v>
      </c>
      <c r="N1448" s="8" t="s">
        <v>220</v>
      </c>
      <c r="O1448" s="8" t="s">
        <v>474</v>
      </c>
      <c r="P1448" s="6" t="s">
        <v>44</v>
      </c>
      <c r="Q1448" s="8" t="s">
        <v>45</v>
      </c>
      <c r="R1448" s="10" t="s">
        <v>8496</v>
      </c>
      <c r="S1448" s="11"/>
      <c r="T1448" s="6"/>
      <c r="U1448" s="24" t="str">
        <f>HYPERLINK("https://media.infra-m.ru/1864/1864185/cover/1864185.jpg", "Обложка")</f>
        <v>Обложка</v>
      </c>
      <c r="V1448" s="24" t="str">
        <f>HYPERLINK("https://znanium.ru/catalog/product/1864185", "Ознакомиться")</f>
        <v>Ознакомиться</v>
      </c>
      <c r="W1448" s="8" t="s">
        <v>5222</v>
      </c>
      <c r="X1448" s="6"/>
      <c r="Y1448" s="6"/>
      <c r="Z1448" s="6"/>
      <c r="AA1448" s="6" t="s">
        <v>377</v>
      </c>
      <c r="AB1448" s="8"/>
    </row>
    <row r="1449" spans="1:28" s="4" customFormat="1" ht="51.95" customHeight="1">
      <c r="A1449" s="5">
        <v>0</v>
      </c>
      <c r="B1449" s="6" t="s">
        <v>8497</v>
      </c>
      <c r="C1449" s="7">
        <v>3862.8</v>
      </c>
      <c r="D1449" s="8" t="s">
        <v>8498</v>
      </c>
      <c r="E1449" s="8" t="s">
        <v>8499</v>
      </c>
      <c r="F1449" s="8" t="s">
        <v>8500</v>
      </c>
      <c r="G1449" s="6" t="s">
        <v>132</v>
      </c>
      <c r="H1449" s="6" t="s">
        <v>39</v>
      </c>
      <c r="I1449" s="8" t="s">
        <v>40</v>
      </c>
      <c r="J1449" s="9">
        <v>1</v>
      </c>
      <c r="K1449" s="9">
        <v>299</v>
      </c>
      <c r="L1449" s="9">
        <v>2026</v>
      </c>
      <c r="M1449" s="8" t="s">
        <v>8501</v>
      </c>
      <c r="N1449" s="8" t="s">
        <v>284</v>
      </c>
      <c r="O1449" s="8" t="s">
        <v>717</v>
      </c>
      <c r="P1449" s="6" t="s">
        <v>44</v>
      </c>
      <c r="Q1449" s="8" t="s">
        <v>45</v>
      </c>
      <c r="R1449" s="10" t="s">
        <v>8502</v>
      </c>
      <c r="S1449" s="11"/>
      <c r="T1449" s="6"/>
      <c r="U1449" s="24" t="str">
        <f>HYPERLINK("https://media.infra-m.ru/2224/2224101/cover/2224101.jpg", "Обложка")</f>
        <v>Обложка</v>
      </c>
      <c r="V1449" s="24" t="str">
        <f>HYPERLINK("https://znanium.ru/catalog/product/2203364", "Ознакомиться")</f>
        <v>Ознакомиться</v>
      </c>
      <c r="W1449" s="8" t="s">
        <v>2295</v>
      </c>
      <c r="X1449" s="6"/>
      <c r="Y1449" s="6"/>
      <c r="Z1449" s="6"/>
      <c r="AA1449" s="6" t="s">
        <v>119</v>
      </c>
      <c r="AB1449" s="8" t="s">
        <v>1342</v>
      </c>
    </row>
    <row r="1450" spans="1:28" s="4" customFormat="1" ht="51.95" customHeight="1">
      <c r="A1450" s="5">
        <v>0</v>
      </c>
      <c r="B1450" s="6" t="s">
        <v>8503</v>
      </c>
      <c r="C1450" s="13">
        <v>900</v>
      </c>
      <c r="D1450" s="8" t="s">
        <v>8504</v>
      </c>
      <c r="E1450" s="8" t="s">
        <v>8505</v>
      </c>
      <c r="F1450" s="8" t="s">
        <v>8506</v>
      </c>
      <c r="G1450" s="6" t="s">
        <v>38</v>
      </c>
      <c r="H1450" s="6" t="s">
        <v>182</v>
      </c>
      <c r="I1450" s="8" t="s">
        <v>40</v>
      </c>
      <c r="J1450" s="9">
        <v>1</v>
      </c>
      <c r="K1450" s="9">
        <v>150</v>
      </c>
      <c r="L1450" s="9">
        <v>2024</v>
      </c>
      <c r="M1450" s="8" t="s">
        <v>8507</v>
      </c>
      <c r="N1450" s="8" t="s">
        <v>42</v>
      </c>
      <c r="O1450" s="8" t="s">
        <v>43</v>
      </c>
      <c r="P1450" s="6" t="s">
        <v>44</v>
      </c>
      <c r="Q1450" s="8" t="s">
        <v>1152</v>
      </c>
      <c r="R1450" s="10" t="s">
        <v>8508</v>
      </c>
      <c r="S1450" s="11"/>
      <c r="T1450" s="6"/>
      <c r="U1450" s="24" t="str">
        <f>HYPERLINK("https://media.infra-m.ru/2138/2138732/cover/2138732.jpg", "Обложка")</f>
        <v>Обложка</v>
      </c>
      <c r="V1450" s="24" t="str">
        <f>HYPERLINK("https://znanium.ru/catalog/product/2138732", "Ознакомиться")</f>
        <v>Ознакомиться</v>
      </c>
      <c r="W1450" s="8" t="s">
        <v>1882</v>
      </c>
      <c r="X1450" s="6"/>
      <c r="Y1450" s="6"/>
      <c r="Z1450" s="6"/>
      <c r="AA1450" s="6" t="s">
        <v>339</v>
      </c>
      <c r="AB1450" s="8"/>
    </row>
    <row r="1451" spans="1:28" s="4" customFormat="1" ht="44.1" customHeight="1">
      <c r="A1451" s="5">
        <v>0</v>
      </c>
      <c r="B1451" s="6" t="s">
        <v>8509</v>
      </c>
      <c r="C1451" s="13">
        <v>856.8</v>
      </c>
      <c r="D1451" s="8" t="s">
        <v>8510</v>
      </c>
      <c r="E1451" s="8" t="s">
        <v>8511</v>
      </c>
      <c r="F1451" s="8" t="s">
        <v>8512</v>
      </c>
      <c r="G1451" s="6" t="s">
        <v>38</v>
      </c>
      <c r="H1451" s="6" t="s">
        <v>39</v>
      </c>
      <c r="I1451" s="8" t="s">
        <v>1803</v>
      </c>
      <c r="J1451" s="9">
        <v>1</v>
      </c>
      <c r="K1451" s="9">
        <v>157</v>
      </c>
      <c r="L1451" s="9">
        <v>2023</v>
      </c>
      <c r="M1451" s="8" t="s">
        <v>8513</v>
      </c>
      <c r="N1451" s="8" t="s">
        <v>42</v>
      </c>
      <c r="O1451" s="8" t="s">
        <v>189</v>
      </c>
      <c r="P1451" s="6" t="s">
        <v>44</v>
      </c>
      <c r="Q1451" s="8" t="s">
        <v>45</v>
      </c>
      <c r="R1451" s="10" t="s">
        <v>8514</v>
      </c>
      <c r="S1451" s="11"/>
      <c r="T1451" s="6"/>
      <c r="U1451" s="24" t="str">
        <f>HYPERLINK("https://media.infra-m.ru/2021/2021465/cover/2021465.jpg", "Обложка")</f>
        <v>Обложка</v>
      </c>
      <c r="V1451" s="24" t="str">
        <f>HYPERLINK("https://znanium.ru/catalog/product/972316", "Ознакомиться")</f>
        <v>Ознакомиться</v>
      </c>
      <c r="W1451" s="8" t="s">
        <v>167</v>
      </c>
      <c r="X1451" s="6"/>
      <c r="Y1451" s="6"/>
      <c r="Z1451" s="6"/>
      <c r="AA1451" s="6" t="s">
        <v>76</v>
      </c>
      <c r="AB1451" s="8"/>
    </row>
    <row r="1452" spans="1:28" s="4" customFormat="1" ht="44.1" customHeight="1">
      <c r="A1452" s="5">
        <v>0</v>
      </c>
      <c r="B1452" s="6" t="s">
        <v>8515</v>
      </c>
      <c r="C1452" s="13">
        <v>576</v>
      </c>
      <c r="D1452" s="8" t="s">
        <v>8516</v>
      </c>
      <c r="E1452" s="8" t="s">
        <v>8517</v>
      </c>
      <c r="F1452" s="8" t="s">
        <v>8518</v>
      </c>
      <c r="G1452" s="6" t="s">
        <v>38</v>
      </c>
      <c r="H1452" s="6" t="s">
        <v>1019</v>
      </c>
      <c r="I1452" s="8" t="s">
        <v>1020</v>
      </c>
      <c r="J1452" s="9">
        <v>1</v>
      </c>
      <c r="K1452" s="9">
        <v>154</v>
      </c>
      <c r="L1452" s="9">
        <v>2018</v>
      </c>
      <c r="M1452" s="8" t="s">
        <v>8519</v>
      </c>
      <c r="N1452" s="8" t="s">
        <v>284</v>
      </c>
      <c r="O1452" s="8" t="s">
        <v>285</v>
      </c>
      <c r="P1452" s="6" t="s">
        <v>44</v>
      </c>
      <c r="Q1452" s="8" t="s">
        <v>45</v>
      </c>
      <c r="R1452" s="10" t="s">
        <v>8520</v>
      </c>
      <c r="S1452" s="11"/>
      <c r="T1452" s="6"/>
      <c r="U1452" s="24" t="str">
        <f>HYPERLINK("https://media.infra-m.ru/0934/0934720/cover/934720.jpg", "Обложка")</f>
        <v>Обложка</v>
      </c>
      <c r="V1452" s="24" t="str">
        <f>HYPERLINK("https://znanium.ru/catalog/product/934720", "Ознакомиться")</f>
        <v>Ознакомиться</v>
      </c>
      <c r="W1452" s="8" t="s">
        <v>176</v>
      </c>
      <c r="X1452" s="6"/>
      <c r="Y1452" s="6"/>
      <c r="Z1452" s="6"/>
      <c r="AA1452" s="6" t="s">
        <v>68</v>
      </c>
      <c r="AB1452" s="8"/>
    </row>
    <row r="1453" spans="1:28" s="4" customFormat="1" ht="42" customHeight="1">
      <c r="A1453" s="5">
        <v>0</v>
      </c>
      <c r="B1453" s="6" t="s">
        <v>8521</v>
      </c>
      <c r="C1453" s="13">
        <v>900</v>
      </c>
      <c r="D1453" s="8" t="s">
        <v>8522</v>
      </c>
      <c r="E1453" s="8" t="s">
        <v>8523</v>
      </c>
      <c r="F1453" s="8" t="s">
        <v>8524</v>
      </c>
      <c r="G1453" s="6" t="s">
        <v>38</v>
      </c>
      <c r="H1453" s="6" t="s">
        <v>39</v>
      </c>
      <c r="I1453" s="8" t="s">
        <v>40</v>
      </c>
      <c r="J1453" s="9">
        <v>1</v>
      </c>
      <c r="K1453" s="9">
        <v>192</v>
      </c>
      <c r="L1453" s="9">
        <v>2022</v>
      </c>
      <c r="M1453" s="8" t="s">
        <v>8525</v>
      </c>
      <c r="N1453" s="8" t="s">
        <v>284</v>
      </c>
      <c r="O1453" s="8" t="s">
        <v>285</v>
      </c>
      <c r="P1453" s="6" t="s">
        <v>44</v>
      </c>
      <c r="Q1453" s="8" t="s">
        <v>45</v>
      </c>
      <c r="R1453" s="10" t="s">
        <v>6226</v>
      </c>
      <c r="S1453" s="11"/>
      <c r="T1453" s="6"/>
      <c r="U1453" s="24" t="str">
        <f>HYPERLINK("https://media.infra-m.ru/1836/1836738/cover/1836738.jpg", "Обложка")</f>
        <v>Обложка</v>
      </c>
      <c r="V1453" s="24" t="str">
        <f>HYPERLINK("https://znanium.ru/catalog/product/1836738", "Ознакомиться")</f>
        <v>Ознакомиться</v>
      </c>
      <c r="W1453" s="8" t="s">
        <v>5156</v>
      </c>
      <c r="X1453" s="6"/>
      <c r="Y1453" s="6"/>
      <c r="Z1453" s="6"/>
      <c r="AA1453" s="6" t="s">
        <v>68</v>
      </c>
      <c r="AB1453" s="8"/>
    </row>
    <row r="1454" spans="1:28" s="4" customFormat="1" ht="42" customHeight="1">
      <c r="A1454" s="5">
        <v>0</v>
      </c>
      <c r="B1454" s="6" t="s">
        <v>8526</v>
      </c>
      <c r="C1454" s="7">
        <v>2356.8000000000002</v>
      </c>
      <c r="D1454" s="8" t="s">
        <v>8527</v>
      </c>
      <c r="E1454" s="8" t="s">
        <v>8528</v>
      </c>
      <c r="F1454" s="8" t="s">
        <v>8529</v>
      </c>
      <c r="G1454" s="6" t="s">
        <v>132</v>
      </c>
      <c r="H1454" s="6" t="s">
        <v>39</v>
      </c>
      <c r="I1454" s="8" t="s">
        <v>40</v>
      </c>
      <c r="J1454" s="9">
        <v>1</v>
      </c>
      <c r="K1454" s="9">
        <v>392</v>
      </c>
      <c r="L1454" s="9">
        <v>2025</v>
      </c>
      <c r="M1454" s="8" t="s">
        <v>8530</v>
      </c>
      <c r="N1454" s="8" t="s">
        <v>284</v>
      </c>
      <c r="O1454" s="8" t="s">
        <v>285</v>
      </c>
      <c r="P1454" s="6" t="s">
        <v>44</v>
      </c>
      <c r="Q1454" s="8" t="s">
        <v>45</v>
      </c>
      <c r="R1454" s="10" t="s">
        <v>8531</v>
      </c>
      <c r="S1454" s="11"/>
      <c r="T1454" s="6"/>
      <c r="U1454" s="24" t="str">
        <f>HYPERLINK("https://media.infra-m.ru/2176/2176184/cover/2176184.jpg", "Обложка")</f>
        <v>Обложка</v>
      </c>
      <c r="V1454" s="24" t="str">
        <f>HYPERLINK("https://znanium.ru/catalog/product/1248244", "Ознакомиться")</f>
        <v>Ознакомиться</v>
      </c>
      <c r="W1454" s="8" t="s">
        <v>8485</v>
      </c>
      <c r="X1454" s="6"/>
      <c r="Y1454" s="6"/>
      <c r="Z1454" s="6"/>
      <c r="AA1454" s="6" t="s">
        <v>111</v>
      </c>
      <c r="AB1454" s="8"/>
    </row>
    <row r="1455" spans="1:28" s="4" customFormat="1" ht="42" customHeight="1">
      <c r="A1455" s="5">
        <v>0</v>
      </c>
      <c r="B1455" s="6" t="s">
        <v>8532</v>
      </c>
      <c r="C1455" s="13">
        <v>916.8</v>
      </c>
      <c r="D1455" s="8" t="s">
        <v>8533</v>
      </c>
      <c r="E1455" s="8" t="s">
        <v>8534</v>
      </c>
      <c r="F1455" s="8" t="s">
        <v>8535</v>
      </c>
      <c r="G1455" s="6" t="s">
        <v>38</v>
      </c>
      <c r="H1455" s="6" t="s">
        <v>1019</v>
      </c>
      <c r="I1455" s="8" t="s">
        <v>1019</v>
      </c>
      <c r="J1455" s="9">
        <v>1</v>
      </c>
      <c r="K1455" s="9">
        <v>160</v>
      </c>
      <c r="L1455" s="9">
        <v>2024</v>
      </c>
      <c r="M1455" s="8" t="s">
        <v>8536</v>
      </c>
      <c r="N1455" s="8" t="s">
        <v>42</v>
      </c>
      <c r="O1455" s="8" t="s">
        <v>1002</v>
      </c>
      <c r="P1455" s="6" t="s">
        <v>1195</v>
      </c>
      <c r="Q1455" s="8" t="s">
        <v>416</v>
      </c>
      <c r="R1455" s="10" t="s">
        <v>8537</v>
      </c>
      <c r="S1455" s="11"/>
      <c r="T1455" s="6"/>
      <c r="U1455" s="24" t="str">
        <f>HYPERLINK("https://media.infra-m.ru/2156/2156795/cover/2156795.jpg", "Обложка")</f>
        <v>Обложка</v>
      </c>
      <c r="V1455" s="24" t="str">
        <f>HYPERLINK("https://znanium.ru/catalog/product/2079695", "Ознакомиться")</f>
        <v>Ознакомиться</v>
      </c>
      <c r="W1455" s="8" t="s">
        <v>167</v>
      </c>
      <c r="X1455" s="6"/>
      <c r="Y1455" s="6"/>
      <c r="Z1455" s="6"/>
      <c r="AA1455" s="6" t="s">
        <v>277</v>
      </c>
      <c r="AB1455" s="8"/>
    </row>
    <row r="1456" spans="1:28" s="4" customFormat="1" ht="51.95" customHeight="1">
      <c r="A1456" s="5">
        <v>0</v>
      </c>
      <c r="B1456" s="6" t="s">
        <v>8538</v>
      </c>
      <c r="C1456" s="13">
        <v>876</v>
      </c>
      <c r="D1456" s="8" t="s">
        <v>8539</v>
      </c>
      <c r="E1456" s="8" t="s">
        <v>8540</v>
      </c>
      <c r="F1456" s="8" t="s">
        <v>8541</v>
      </c>
      <c r="G1456" s="6" t="s">
        <v>38</v>
      </c>
      <c r="H1456" s="6" t="s">
        <v>39</v>
      </c>
      <c r="I1456" s="8" t="s">
        <v>40</v>
      </c>
      <c r="J1456" s="9">
        <v>1</v>
      </c>
      <c r="K1456" s="9">
        <v>157</v>
      </c>
      <c r="L1456" s="9">
        <v>2024</v>
      </c>
      <c r="M1456" s="8" t="s">
        <v>8542</v>
      </c>
      <c r="N1456" s="8" t="s">
        <v>229</v>
      </c>
      <c r="O1456" s="8" t="s">
        <v>230</v>
      </c>
      <c r="P1456" s="6" t="s">
        <v>44</v>
      </c>
      <c r="Q1456" s="8" t="s">
        <v>45</v>
      </c>
      <c r="R1456" s="10" t="s">
        <v>8543</v>
      </c>
      <c r="S1456" s="11"/>
      <c r="T1456" s="6"/>
      <c r="U1456" s="24" t="str">
        <f>HYPERLINK("https://media.infra-m.ru/2100/2100994/cover/2100994.jpg", "Обложка")</f>
        <v>Обложка</v>
      </c>
      <c r="V1456" s="24" t="str">
        <f>HYPERLINK("https://znanium.ru/catalog/product/2100994", "Ознакомиться")</f>
        <v>Ознакомиться</v>
      </c>
      <c r="W1456" s="8" t="s">
        <v>1049</v>
      </c>
      <c r="X1456" s="6"/>
      <c r="Y1456" s="6"/>
      <c r="Z1456" s="6"/>
      <c r="AA1456" s="6" t="s">
        <v>339</v>
      </c>
      <c r="AB1456" s="8"/>
    </row>
    <row r="1457" spans="1:28" s="4" customFormat="1" ht="51.95" customHeight="1">
      <c r="A1457" s="5">
        <v>0</v>
      </c>
      <c r="B1457" s="6" t="s">
        <v>8544</v>
      </c>
      <c r="C1457" s="13">
        <v>540</v>
      </c>
      <c r="D1457" s="8" t="s">
        <v>8545</v>
      </c>
      <c r="E1457" s="8" t="s">
        <v>8546</v>
      </c>
      <c r="F1457" s="8" t="s">
        <v>8547</v>
      </c>
      <c r="G1457" s="6" t="s">
        <v>38</v>
      </c>
      <c r="H1457" s="6" t="s">
        <v>39</v>
      </c>
      <c r="I1457" s="8" t="s">
        <v>40</v>
      </c>
      <c r="J1457" s="9">
        <v>1</v>
      </c>
      <c r="K1457" s="9">
        <v>131</v>
      </c>
      <c r="L1457" s="9">
        <v>2020</v>
      </c>
      <c r="M1457" s="8" t="s">
        <v>8548</v>
      </c>
      <c r="N1457" s="8" t="s">
        <v>284</v>
      </c>
      <c r="O1457" s="8" t="s">
        <v>383</v>
      </c>
      <c r="P1457" s="6" t="s">
        <v>44</v>
      </c>
      <c r="Q1457" s="8" t="s">
        <v>45</v>
      </c>
      <c r="R1457" s="10" t="s">
        <v>8549</v>
      </c>
      <c r="S1457" s="11"/>
      <c r="T1457" s="6"/>
      <c r="U1457" s="24" t="str">
        <f>HYPERLINK("https://media.infra-m.ru/1036/1036519/cover/1036519.jpg", "Обложка")</f>
        <v>Обложка</v>
      </c>
      <c r="V1457" s="24" t="str">
        <f>HYPERLINK("https://znanium.ru/catalog/product/1036519", "Ознакомиться")</f>
        <v>Ознакомиться</v>
      </c>
      <c r="W1457" s="8" t="s">
        <v>346</v>
      </c>
      <c r="X1457" s="6"/>
      <c r="Y1457" s="6"/>
      <c r="Z1457" s="6"/>
      <c r="AA1457" s="6" t="s">
        <v>290</v>
      </c>
      <c r="AB1457" s="8"/>
    </row>
    <row r="1458" spans="1:28" s="4" customFormat="1" ht="51.95" customHeight="1">
      <c r="A1458" s="5">
        <v>0</v>
      </c>
      <c r="B1458" s="6" t="s">
        <v>8550</v>
      </c>
      <c r="C1458" s="7">
        <v>1128</v>
      </c>
      <c r="D1458" s="8" t="s">
        <v>8551</v>
      </c>
      <c r="E1458" s="8" t="s">
        <v>8552</v>
      </c>
      <c r="F1458" s="8" t="s">
        <v>4526</v>
      </c>
      <c r="G1458" s="6" t="s">
        <v>38</v>
      </c>
      <c r="H1458" s="6" t="s">
        <v>39</v>
      </c>
      <c r="I1458" s="8" t="s">
        <v>40</v>
      </c>
      <c r="J1458" s="9">
        <v>1</v>
      </c>
      <c r="K1458" s="9">
        <v>190</v>
      </c>
      <c r="L1458" s="9">
        <v>2022</v>
      </c>
      <c r="M1458" s="8" t="s">
        <v>8553</v>
      </c>
      <c r="N1458" s="8" t="s">
        <v>284</v>
      </c>
      <c r="O1458" s="8" t="s">
        <v>2265</v>
      </c>
      <c r="P1458" s="6" t="s">
        <v>44</v>
      </c>
      <c r="Q1458" s="8" t="s">
        <v>45</v>
      </c>
      <c r="R1458" s="10" t="s">
        <v>8554</v>
      </c>
      <c r="S1458" s="11"/>
      <c r="T1458" s="6"/>
      <c r="U1458" s="24" t="str">
        <f>HYPERLINK("https://media.infra-m.ru/1852/1852911/cover/1852911.jpg", "Обложка")</f>
        <v>Обложка</v>
      </c>
      <c r="V1458" s="24" t="str">
        <f>HYPERLINK("https://znanium.ru/catalog/product/1852911", "Ознакомиться")</f>
        <v>Ознакомиться</v>
      </c>
      <c r="W1458" s="8" t="s">
        <v>289</v>
      </c>
      <c r="X1458" s="6"/>
      <c r="Y1458" s="6"/>
      <c r="Z1458" s="6"/>
      <c r="AA1458" s="6" t="s">
        <v>111</v>
      </c>
      <c r="AB1458" s="8"/>
    </row>
    <row r="1459" spans="1:28" s="4" customFormat="1" ht="42" customHeight="1">
      <c r="A1459" s="5">
        <v>0</v>
      </c>
      <c r="B1459" s="6" t="s">
        <v>8555</v>
      </c>
      <c r="C1459" s="7">
        <v>2004</v>
      </c>
      <c r="D1459" s="8" t="s">
        <v>8556</v>
      </c>
      <c r="E1459" s="8" t="s">
        <v>8557</v>
      </c>
      <c r="F1459" s="8" t="s">
        <v>8558</v>
      </c>
      <c r="G1459" s="6" t="s">
        <v>132</v>
      </c>
      <c r="H1459" s="6" t="s">
        <v>39</v>
      </c>
      <c r="I1459" s="8" t="s">
        <v>40</v>
      </c>
      <c r="J1459" s="9">
        <v>1</v>
      </c>
      <c r="K1459" s="9">
        <v>356</v>
      </c>
      <c r="L1459" s="9">
        <v>2024</v>
      </c>
      <c r="M1459" s="8" t="s">
        <v>8559</v>
      </c>
      <c r="N1459" s="8" t="s">
        <v>54</v>
      </c>
      <c r="O1459" s="8" t="s">
        <v>55</v>
      </c>
      <c r="P1459" s="6" t="s">
        <v>44</v>
      </c>
      <c r="Q1459" s="8" t="s">
        <v>45</v>
      </c>
      <c r="R1459" s="10" t="s">
        <v>8560</v>
      </c>
      <c r="S1459" s="11"/>
      <c r="T1459" s="6"/>
      <c r="U1459" s="24" t="str">
        <f>HYPERLINK("https://media.infra-m.ru/2079/2079783/cover/2079783.jpg", "Обложка")</f>
        <v>Обложка</v>
      </c>
      <c r="V1459" s="24" t="str">
        <f>HYPERLINK("https://znanium.ru/catalog/product/2079783", "Ознакомиться")</f>
        <v>Ознакомиться</v>
      </c>
      <c r="W1459" s="8" t="s">
        <v>75</v>
      </c>
      <c r="X1459" s="6"/>
      <c r="Y1459" s="6"/>
      <c r="Z1459" s="6"/>
      <c r="AA1459" s="6" t="s">
        <v>58</v>
      </c>
      <c r="AB1459" s="8"/>
    </row>
    <row r="1460" spans="1:28" s="4" customFormat="1" ht="42" customHeight="1">
      <c r="A1460" s="5">
        <v>0</v>
      </c>
      <c r="B1460" s="6" t="s">
        <v>8561</v>
      </c>
      <c r="C1460" s="7">
        <v>1768.8</v>
      </c>
      <c r="D1460" s="8" t="s">
        <v>8562</v>
      </c>
      <c r="E1460" s="8" t="s">
        <v>8563</v>
      </c>
      <c r="F1460" s="8" t="s">
        <v>8564</v>
      </c>
      <c r="G1460" s="6" t="s">
        <v>132</v>
      </c>
      <c r="H1460" s="6" t="s">
        <v>39</v>
      </c>
      <c r="I1460" s="8" t="s">
        <v>40</v>
      </c>
      <c r="J1460" s="9">
        <v>1</v>
      </c>
      <c r="K1460" s="9">
        <v>326</v>
      </c>
      <c r="L1460" s="9">
        <v>2023</v>
      </c>
      <c r="M1460" s="8" t="s">
        <v>8565</v>
      </c>
      <c r="N1460" s="8" t="s">
        <v>42</v>
      </c>
      <c r="O1460" s="8" t="s">
        <v>155</v>
      </c>
      <c r="P1460" s="6" t="s">
        <v>44</v>
      </c>
      <c r="Q1460" s="8" t="s">
        <v>45</v>
      </c>
      <c r="R1460" s="10" t="s">
        <v>1873</v>
      </c>
      <c r="S1460" s="11"/>
      <c r="T1460" s="6"/>
      <c r="U1460" s="24" t="str">
        <f>HYPERLINK("https://media.infra-m.ru/2030/2030868/cover/2030868.jpg", "Обложка")</f>
        <v>Обложка</v>
      </c>
      <c r="V1460" s="24" t="str">
        <f>HYPERLINK("https://znanium.ru/catalog/product/990434", "Ознакомиться")</f>
        <v>Ознакомиться</v>
      </c>
      <c r="W1460" s="8" t="s">
        <v>191</v>
      </c>
      <c r="X1460" s="6"/>
      <c r="Y1460" s="6"/>
      <c r="Z1460" s="6"/>
      <c r="AA1460" s="6" t="s">
        <v>199</v>
      </c>
      <c r="AB1460" s="8"/>
    </row>
    <row r="1461" spans="1:28" s="4" customFormat="1" ht="42" customHeight="1">
      <c r="A1461" s="5">
        <v>0</v>
      </c>
      <c r="B1461" s="6" t="s">
        <v>8566</v>
      </c>
      <c r="C1461" s="7">
        <v>1044</v>
      </c>
      <c r="D1461" s="8" t="s">
        <v>8567</v>
      </c>
      <c r="E1461" s="8" t="s">
        <v>8568</v>
      </c>
      <c r="F1461" s="8" t="s">
        <v>8569</v>
      </c>
      <c r="G1461" s="6" t="s">
        <v>38</v>
      </c>
      <c r="H1461" s="6" t="s">
        <v>39</v>
      </c>
      <c r="I1461" s="8" t="s">
        <v>40</v>
      </c>
      <c r="J1461" s="9">
        <v>1</v>
      </c>
      <c r="K1461" s="9">
        <v>208</v>
      </c>
      <c r="L1461" s="9">
        <v>2024</v>
      </c>
      <c r="M1461" s="8" t="s">
        <v>8570</v>
      </c>
      <c r="N1461" s="8" t="s">
        <v>42</v>
      </c>
      <c r="O1461" s="8" t="s">
        <v>189</v>
      </c>
      <c r="P1461" s="6" t="s">
        <v>44</v>
      </c>
      <c r="Q1461" s="8" t="s">
        <v>45</v>
      </c>
      <c r="R1461" s="10" t="s">
        <v>8571</v>
      </c>
      <c r="S1461" s="11"/>
      <c r="T1461" s="6"/>
      <c r="U1461" s="24" t="str">
        <f>HYPERLINK("https://media.infra-m.ru/1894/1894489/cover/1894489.jpg", "Обложка")</f>
        <v>Обложка</v>
      </c>
      <c r="V1461" s="24" t="str">
        <f>HYPERLINK("https://znanium.ru/catalog/product/1894489", "Ознакомиться")</f>
        <v>Ознакомиться</v>
      </c>
      <c r="W1461" s="8" t="s">
        <v>167</v>
      </c>
      <c r="X1461" s="6"/>
      <c r="Y1461" s="6"/>
      <c r="Z1461" s="6"/>
      <c r="AA1461" s="6" t="s">
        <v>111</v>
      </c>
      <c r="AB1461" s="8"/>
    </row>
    <row r="1462" spans="1:28" s="4" customFormat="1" ht="51.95" customHeight="1">
      <c r="A1462" s="5">
        <v>0</v>
      </c>
      <c r="B1462" s="6" t="s">
        <v>8572</v>
      </c>
      <c r="C1462" s="7">
        <v>1728</v>
      </c>
      <c r="D1462" s="8" t="s">
        <v>8573</v>
      </c>
      <c r="E1462" s="8" t="s">
        <v>8574</v>
      </c>
      <c r="F1462" s="8" t="s">
        <v>3493</v>
      </c>
      <c r="G1462" s="6" t="s">
        <v>81</v>
      </c>
      <c r="H1462" s="6" t="s">
        <v>99</v>
      </c>
      <c r="I1462" s="8"/>
      <c r="J1462" s="9">
        <v>1</v>
      </c>
      <c r="K1462" s="9">
        <v>320</v>
      </c>
      <c r="L1462" s="9">
        <v>2023</v>
      </c>
      <c r="M1462" s="8" t="s">
        <v>8575</v>
      </c>
      <c r="N1462" s="8" t="s">
        <v>42</v>
      </c>
      <c r="O1462" s="8" t="s">
        <v>101</v>
      </c>
      <c r="P1462" s="6" t="s">
        <v>580</v>
      </c>
      <c r="Q1462" s="8" t="s">
        <v>45</v>
      </c>
      <c r="R1462" s="10" t="s">
        <v>4388</v>
      </c>
      <c r="S1462" s="11"/>
      <c r="T1462" s="6"/>
      <c r="U1462" s="24" t="str">
        <f>HYPERLINK("https://media.infra-m.ru/1898/1898756/cover/1898756.jpg", "Обложка")</f>
        <v>Обложка</v>
      </c>
      <c r="V1462" s="24" t="str">
        <f>HYPERLINK("https://znanium.ru/catalog/product/1898756", "Ознакомиться")</f>
        <v>Ознакомиться</v>
      </c>
      <c r="W1462" s="8" t="s">
        <v>418</v>
      </c>
      <c r="X1462" s="6"/>
      <c r="Y1462" s="6"/>
      <c r="Z1462" s="6"/>
      <c r="AA1462" s="6" t="s">
        <v>199</v>
      </c>
      <c r="AB1462" s="8"/>
    </row>
    <row r="1463" spans="1:28" s="4" customFormat="1" ht="51.95" customHeight="1">
      <c r="A1463" s="5">
        <v>0</v>
      </c>
      <c r="B1463" s="6" t="s">
        <v>8576</v>
      </c>
      <c r="C1463" s="13">
        <v>684</v>
      </c>
      <c r="D1463" s="8" t="s">
        <v>8577</v>
      </c>
      <c r="E1463" s="8" t="s">
        <v>8578</v>
      </c>
      <c r="F1463" s="8" t="s">
        <v>8579</v>
      </c>
      <c r="G1463" s="6" t="s">
        <v>38</v>
      </c>
      <c r="H1463" s="6" t="s">
        <v>1019</v>
      </c>
      <c r="I1463" s="8" t="s">
        <v>8580</v>
      </c>
      <c r="J1463" s="9">
        <v>1</v>
      </c>
      <c r="K1463" s="9">
        <v>126</v>
      </c>
      <c r="L1463" s="9">
        <v>2023</v>
      </c>
      <c r="M1463" s="8" t="s">
        <v>8581</v>
      </c>
      <c r="N1463" s="8" t="s">
        <v>42</v>
      </c>
      <c r="O1463" s="8" t="s">
        <v>65</v>
      </c>
      <c r="P1463" s="6" t="s">
        <v>44</v>
      </c>
      <c r="Q1463" s="8" t="s">
        <v>45</v>
      </c>
      <c r="R1463" s="10" t="s">
        <v>8582</v>
      </c>
      <c r="S1463" s="11"/>
      <c r="T1463" s="6"/>
      <c r="U1463" s="24" t="str">
        <f>HYPERLINK("https://media.infra-m.ru/1919/1919481/cover/1919481.jpg", "Обложка")</f>
        <v>Обложка</v>
      </c>
      <c r="V1463" s="24" t="str">
        <f>HYPERLINK("https://znanium.ru/catalog/product/1919481", "Ознакомиться")</f>
        <v>Ознакомиться</v>
      </c>
      <c r="W1463" s="8" t="s">
        <v>167</v>
      </c>
      <c r="X1463" s="6"/>
      <c r="Y1463" s="6"/>
      <c r="Z1463" s="6"/>
      <c r="AA1463" s="6" t="s">
        <v>377</v>
      </c>
      <c r="AB1463" s="8"/>
    </row>
    <row r="1464" spans="1:28" s="4" customFormat="1" ht="51.95" customHeight="1">
      <c r="A1464" s="5">
        <v>0</v>
      </c>
      <c r="B1464" s="6" t="s">
        <v>8583</v>
      </c>
      <c r="C1464" s="7">
        <v>1300.8</v>
      </c>
      <c r="D1464" s="8" t="s">
        <v>8584</v>
      </c>
      <c r="E1464" s="8" t="s">
        <v>8585</v>
      </c>
      <c r="F1464" s="8" t="s">
        <v>8586</v>
      </c>
      <c r="G1464" s="6" t="s">
        <v>38</v>
      </c>
      <c r="H1464" s="6" t="s">
        <v>39</v>
      </c>
      <c r="I1464" s="8" t="s">
        <v>40</v>
      </c>
      <c r="J1464" s="9">
        <v>1</v>
      </c>
      <c r="K1464" s="9">
        <v>202</v>
      </c>
      <c r="L1464" s="9">
        <v>2026</v>
      </c>
      <c r="M1464" s="8" t="s">
        <v>8587</v>
      </c>
      <c r="N1464" s="8" t="s">
        <v>42</v>
      </c>
      <c r="O1464" s="8" t="s">
        <v>65</v>
      </c>
      <c r="P1464" s="6" t="s">
        <v>44</v>
      </c>
      <c r="Q1464" s="8" t="s">
        <v>45</v>
      </c>
      <c r="R1464" s="10" t="s">
        <v>8588</v>
      </c>
      <c r="S1464" s="11"/>
      <c r="T1464" s="6"/>
      <c r="U1464" s="24" t="str">
        <f>HYPERLINK("https://media.infra-m.ru/2222/2222242/cover/2222242.jpg", "Обложка")</f>
        <v>Обложка</v>
      </c>
      <c r="V1464" s="24" t="str">
        <f>HYPERLINK("https://znanium.ru/catalog/product/2194982", "Ознакомиться")</f>
        <v>Ознакомиться</v>
      </c>
      <c r="W1464" s="8" t="s">
        <v>8589</v>
      </c>
      <c r="X1464" s="6"/>
      <c r="Y1464" s="6"/>
      <c r="Z1464" s="6"/>
      <c r="AA1464" s="6" t="s">
        <v>290</v>
      </c>
      <c r="AB1464" s="8"/>
    </row>
    <row r="1465" spans="1:28" s="4" customFormat="1" ht="51.95" customHeight="1">
      <c r="A1465" s="5">
        <v>0</v>
      </c>
      <c r="B1465" s="6" t="s">
        <v>8590</v>
      </c>
      <c r="C1465" s="13">
        <v>708</v>
      </c>
      <c r="D1465" s="8" t="s">
        <v>8591</v>
      </c>
      <c r="E1465" s="8" t="s">
        <v>8592</v>
      </c>
      <c r="F1465" s="8" t="s">
        <v>8593</v>
      </c>
      <c r="G1465" s="6" t="s">
        <v>132</v>
      </c>
      <c r="H1465" s="6" t="s">
        <v>1019</v>
      </c>
      <c r="I1465" s="8"/>
      <c r="J1465" s="9">
        <v>1</v>
      </c>
      <c r="K1465" s="9">
        <v>203</v>
      </c>
      <c r="L1465" s="9">
        <v>2017</v>
      </c>
      <c r="M1465" s="8" t="s">
        <v>8594</v>
      </c>
      <c r="N1465" s="8" t="s">
        <v>42</v>
      </c>
      <c r="O1465" s="8" t="s">
        <v>65</v>
      </c>
      <c r="P1465" s="6" t="s">
        <v>44</v>
      </c>
      <c r="Q1465" s="8" t="s">
        <v>607</v>
      </c>
      <c r="R1465" s="10" t="s">
        <v>8595</v>
      </c>
      <c r="S1465" s="11"/>
      <c r="T1465" s="6"/>
      <c r="U1465" s="24" t="str">
        <f>HYPERLINK("https://media.infra-m.ru/0966/0966594/cover/966594.jpg", "Обложка")</f>
        <v>Обложка</v>
      </c>
      <c r="V1465" s="24" t="str">
        <f>HYPERLINK("https://znanium.ru/catalog/product/916098", "Ознакомиться")</f>
        <v>Ознакомиться</v>
      </c>
      <c r="W1465" s="8" t="s">
        <v>810</v>
      </c>
      <c r="X1465" s="6"/>
      <c r="Y1465" s="6"/>
      <c r="Z1465" s="6"/>
      <c r="AA1465" s="6" t="s">
        <v>369</v>
      </c>
      <c r="AB1465" s="8"/>
    </row>
    <row r="1466" spans="1:28" s="4" customFormat="1" ht="51.95" customHeight="1">
      <c r="A1466" s="5">
        <v>0</v>
      </c>
      <c r="B1466" s="6" t="s">
        <v>8596</v>
      </c>
      <c r="C1466" s="7">
        <v>2640</v>
      </c>
      <c r="D1466" s="8" t="s">
        <v>8597</v>
      </c>
      <c r="E1466" s="8" t="s">
        <v>8598</v>
      </c>
      <c r="F1466" s="8" t="s">
        <v>8599</v>
      </c>
      <c r="G1466" s="6" t="s">
        <v>132</v>
      </c>
      <c r="H1466" s="6" t="s">
        <v>39</v>
      </c>
      <c r="I1466" s="8" t="s">
        <v>40</v>
      </c>
      <c r="J1466" s="9">
        <v>1</v>
      </c>
      <c r="K1466" s="9">
        <v>423</v>
      </c>
      <c r="L1466" s="9">
        <v>2026</v>
      </c>
      <c r="M1466" s="8" t="s">
        <v>8600</v>
      </c>
      <c r="N1466" s="8" t="s">
        <v>42</v>
      </c>
      <c r="O1466" s="8" t="s">
        <v>101</v>
      </c>
      <c r="P1466" s="6" t="s">
        <v>44</v>
      </c>
      <c r="Q1466" s="8" t="s">
        <v>45</v>
      </c>
      <c r="R1466" s="10" t="s">
        <v>8601</v>
      </c>
      <c r="S1466" s="11"/>
      <c r="T1466" s="6"/>
      <c r="U1466" s="24" t="str">
        <f>HYPERLINK("https://media.infra-m.ru/2220/2220324/cover/2220324.jpg", "Обложка")</f>
        <v>Обложка</v>
      </c>
      <c r="V1466" s="24" t="str">
        <f>HYPERLINK("https://znanium.ru/catalog/product/2220324", "Ознакомиться")</f>
        <v>Ознакомиться</v>
      </c>
      <c r="W1466" s="8" t="s">
        <v>1349</v>
      </c>
      <c r="X1466" s="6"/>
      <c r="Y1466" s="6"/>
      <c r="Z1466" s="6"/>
      <c r="AA1466" s="6" t="s">
        <v>2773</v>
      </c>
      <c r="AB1466" s="8" t="s">
        <v>766</v>
      </c>
    </row>
    <row r="1467" spans="1:28" s="4" customFormat="1" ht="51.95" customHeight="1">
      <c r="A1467" s="5">
        <v>0</v>
      </c>
      <c r="B1467" s="6" t="s">
        <v>8602</v>
      </c>
      <c r="C1467" s="7">
        <v>1386</v>
      </c>
      <c r="D1467" s="8" t="s">
        <v>8603</v>
      </c>
      <c r="E1467" s="8" t="s">
        <v>8604</v>
      </c>
      <c r="F1467" s="8" t="s">
        <v>8605</v>
      </c>
      <c r="G1467" s="6" t="s">
        <v>38</v>
      </c>
      <c r="H1467" s="6" t="s">
        <v>99</v>
      </c>
      <c r="I1467" s="8"/>
      <c r="J1467" s="9">
        <v>1</v>
      </c>
      <c r="K1467" s="9">
        <v>120</v>
      </c>
      <c r="L1467" s="9">
        <v>2023</v>
      </c>
      <c r="M1467" s="8" t="s">
        <v>8606</v>
      </c>
      <c r="N1467" s="8" t="s">
        <v>42</v>
      </c>
      <c r="O1467" s="8" t="s">
        <v>101</v>
      </c>
      <c r="P1467" s="6" t="s">
        <v>44</v>
      </c>
      <c r="Q1467" s="8" t="s">
        <v>45</v>
      </c>
      <c r="R1467" s="10" t="s">
        <v>8607</v>
      </c>
      <c r="S1467" s="11"/>
      <c r="T1467" s="6"/>
      <c r="U1467" s="24" t="str">
        <f>HYPERLINK("https://media.infra-m.ru/1911/1911597/cover/1911597.jpg", "Обложка")</f>
        <v>Обложка</v>
      </c>
      <c r="V1467" s="24" t="str">
        <f>HYPERLINK("https://znanium.ru/catalog/product/1897639", "Ознакомиться")</f>
        <v>Ознакомиться</v>
      </c>
      <c r="W1467" s="8"/>
      <c r="X1467" s="6"/>
      <c r="Y1467" s="6"/>
      <c r="Z1467" s="6"/>
      <c r="AA1467" s="6" t="s">
        <v>119</v>
      </c>
      <c r="AB1467" s="8"/>
    </row>
    <row r="1468" spans="1:28" s="4" customFormat="1" ht="42" customHeight="1">
      <c r="A1468" s="5">
        <v>0</v>
      </c>
      <c r="B1468" s="6" t="s">
        <v>8608</v>
      </c>
      <c r="C1468" s="7">
        <v>1949.9</v>
      </c>
      <c r="D1468" s="8" t="s">
        <v>8609</v>
      </c>
      <c r="E1468" s="8" t="s">
        <v>8610</v>
      </c>
      <c r="F1468" s="8" t="s">
        <v>949</v>
      </c>
      <c r="G1468" s="6" t="s">
        <v>132</v>
      </c>
      <c r="H1468" s="6" t="s">
        <v>39</v>
      </c>
      <c r="I1468" s="8" t="s">
        <v>40</v>
      </c>
      <c r="J1468" s="9">
        <v>1</v>
      </c>
      <c r="K1468" s="9">
        <v>360</v>
      </c>
      <c r="L1468" s="9">
        <v>2023</v>
      </c>
      <c r="M1468" s="8" t="s">
        <v>8611</v>
      </c>
      <c r="N1468" s="8" t="s">
        <v>42</v>
      </c>
      <c r="O1468" s="8" t="s">
        <v>65</v>
      </c>
      <c r="P1468" s="6" t="s">
        <v>44</v>
      </c>
      <c r="Q1468" s="8" t="s">
        <v>45</v>
      </c>
      <c r="R1468" s="10" t="s">
        <v>1741</v>
      </c>
      <c r="S1468" s="11"/>
      <c r="T1468" s="6"/>
      <c r="U1468" s="24" t="str">
        <f>HYPERLINK("https://media.infra-m.ru/2030/2030879/cover/2030879.jpg", "Обложка")</f>
        <v>Обложка</v>
      </c>
      <c r="V1468" s="24" t="str">
        <f>HYPERLINK("https://znanium.ru/catalog/product/2030879", "Ознакомиться")</f>
        <v>Ознакомиться</v>
      </c>
      <c r="W1468" s="8" t="s">
        <v>868</v>
      </c>
      <c r="X1468" s="6"/>
      <c r="Y1468" s="6"/>
      <c r="Z1468" s="6"/>
      <c r="AA1468" s="6" t="s">
        <v>168</v>
      </c>
      <c r="AB1468" s="8"/>
    </row>
    <row r="1469" spans="1:28" s="4" customFormat="1" ht="51.95" customHeight="1">
      <c r="A1469" s="5">
        <v>0</v>
      </c>
      <c r="B1469" s="6" t="s">
        <v>8612</v>
      </c>
      <c r="C1469" s="7">
        <v>1032</v>
      </c>
      <c r="D1469" s="8" t="s">
        <v>8613</v>
      </c>
      <c r="E1469" s="8" t="s">
        <v>8614</v>
      </c>
      <c r="F1469" s="8" t="s">
        <v>8615</v>
      </c>
      <c r="G1469" s="6" t="s">
        <v>81</v>
      </c>
      <c r="H1469" s="6" t="s">
        <v>39</v>
      </c>
      <c r="I1469" s="8" t="s">
        <v>40</v>
      </c>
      <c r="J1469" s="9">
        <v>1</v>
      </c>
      <c r="K1469" s="9">
        <v>221</v>
      </c>
      <c r="L1469" s="9">
        <v>2022</v>
      </c>
      <c r="M1469" s="8" t="s">
        <v>8616</v>
      </c>
      <c r="N1469" s="8" t="s">
        <v>42</v>
      </c>
      <c r="O1469" s="8" t="s">
        <v>65</v>
      </c>
      <c r="P1469" s="6" t="s">
        <v>44</v>
      </c>
      <c r="Q1469" s="8" t="s">
        <v>45</v>
      </c>
      <c r="R1469" s="10" t="s">
        <v>8617</v>
      </c>
      <c r="S1469" s="11"/>
      <c r="T1469" s="6" t="s">
        <v>1080</v>
      </c>
      <c r="U1469" s="24" t="str">
        <f>HYPERLINK("https://media.infra-m.ru/1861/1861578/cover/1861578.jpg", "Обложка")</f>
        <v>Обложка</v>
      </c>
      <c r="V1469" s="24" t="str">
        <f>HYPERLINK("https://znanium.ru/catalog/product/1861578", "Ознакомиться")</f>
        <v>Ознакомиться</v>
      </c>
      <c r="W1469" s="8" t="s">
        <v>1861</v>
      </c>
      <c r="X1469" s="6"/>
      <c r="Y1469" s="6"/>
      <c r="Z1469" s="6"/>
      <c r="AA1469" s="6" t="s">
        <v>369</v>
      </c>
      <c r="AB1469" s="8"/>
    </row>
    <row r="1470" spans="1:28" s="4" customFormat="1" ht="51.95" customHeight="1">
      <c r="A1470" s="5">
        <v>0</v>
      </c>
      <c r="B1470" s="6" t="s">
        <v>8618</v>
      </c>
      <c r="C1470" s="7">
        <v>2124</v>
      </c>
      <c r="D1470" s="8" t="s">
        <v>8619</v>
      </c>
      <c r="E1470" s="8" t="s">
        <v>8620</v>
      </c>
      <c r="F1470" s="8" t="s">
        <v>1598</v>
      </c>
      <c r="G1470" s="6" t="s">
        <v>132</v>
      </c>
      <c r="H1470" s="6" t="s">
        <v>39</v>
      </c>
      <c r="I1470" s="8" t="s">
        <v>40</v>
      </c>
      <c r="J1470" s="9">
        <v>1</v>
      </c>
      <c r="K1470" s="9">
        <v>380</v>
      </c>
      <c r="L1470" s="9">
        <v>2023</v>
      </c>
      <c r="M1470" s="8" t="s">
        <v>8621</v>
      </c>
      <c r="N1470" s="8" t="s">
        <v>42</v>
      </c>
      <c r="O1470" s="8" t="s">
        <v>65</v>
      </c>
      <c r="P1470" s="6" t="s">
        <v>44</v>
      </c>
      <c r="Q1470" s="8" t="s">
        <v>45</v>
      </c>
      <c r="R1470" s="10" t="s">
        <v>8622</v>
      </c>
      <c r="S1470" s="11"/>
      <c r="T1470" s="6"/>
      <c r="U1470" s="24" t="str">
        <f>HYPERLINK("https://media.infra-m.ru/2009/2009681/cover/2009681.jpg", "Обложка")</f>
        <v>Обложка</v>
      </c>
      <c r="V1470" s="24" t="str">
        <f>HYPERLINK("https://znanium.ru/catalog/product/2009681", "Ознакомиться")</f>
        <v>Ознакомиться</v>
      </c>
      <c r="W1470" s="8" t="s">
        <v>1601</v>
      </c>
      <c r="X1470" s="6"/>
      <c r="Y1470" s="6"/>
      <c r="Z1470" s="6"/>
      <c r="AA1470" s="6" t="s">
        <v>119</v>
      </c>
      <c r="AB1470" s="8"/>
    </row>
    <row r="1471" spans="1:28" s="4" customFormat="1" ht="42" customHeight="1">
      <c r="A1471" s="5">
        <v>0</v>
      </c>
      <c r="B1471" s="6" t="s">
        <v>8623</v>
      </c>
      <c r="C1471" s="7">
        <v>1752</v>
      </c>
      <c r="D1471" s="8" t="s">
        <v>8624</v>
      </c>
      <c r="E1471" s="8" t="s">
        <v>8625</v>
      </c>
      <c r="F1471" s="8" t="s">
        <v>2357</v>
      </c>
      <c r="G1471" s="6" t="s">
        <v>38</v>
      </c>
      <c r="H1471" s="6" t="s">
        <v>39</v>
      </c>
      <c r="I1471" s="8" t="s">
        <v>40</v>
      </c>
      <c r="J1471" s="9">
        <v>1</v>
      </c>
      <c r="K1471" s="9">
        <v>318</v>
      </c>
      <c r="L1471" s="9">
        <v>2024</v>
      </c>
      <c r="M1471" s="8" t="s">
        <v>8626</v>
      </c>
      <c r="N1471" s="8" t="s">
        <v>42</v>
      </c>
      <c r="O1471" s="8" t="s">
        <v>65</v>
      </c>
      <c r="P1471" s="6" t="s">
        <v>580</v>
      </c>
      <c r="Q1471" s="8" t="s">
        <v>45</v>
      </c>
      <c r="R1471" s="10" t="s">
        <v>1772</v>
      </c>
      <c r="S1471" s="11"/>
      <c r="T1471" s="6"/>
      <c r="U1471" s="24" t="str">
        <f>HYPERLINK("https://media.infra-m.ru/2094/2094519/cover/2094519.jpg", "Обложка")</f>
        <v>Обложка</v>
      </c>
      <c r="V1471" s="24" t="str">
        <f>HYPERLINK("https://znanium.ru/catalog/product/2094519", "Ознакомиться")</f>
        <v>Ознакомиться</v>
      </c>
      <c r="W1471" s="8" t="s">
        <v>846</v>
      </c>
      <c r="X1471" s="6"/>
      <c r="Y1471" s="6"/>
      <c r="Z1471" s="6"/>
      <c r="AA1471" s="6" t="s">
        <v>377</v>
      </c>
      <c r="AB1471" s="8"/>
    </row>
    <row r="1472" spans="1:28" s="4" customFormat="1" ht="51.95" customHeight="1">
      <c r="A1472" s="5">
        <v>0</v>
      </c>
      <c r="B1472" s="6" t="s">
        <v>8627</v>
      </c>
      <c r="C1472" s="7">
        <v>1636.8</v>
      </c>
      <c r="D1472" s="8" t="s">
        <v>8628</v>
      </c>
      <c r="E1472" s="8" t="s">
        <v>8629</v>
      </c>
      <c r="F1472" s="8" t="s">
        <v>2107</v>
      </c>
      <c r="G1472" s="6" t="s">
        <v>26</v>
      </c>
      <c r="H1472" s="6" t="s">
        <v>99</v>
      </c>
      <c r="I1472" s="8"/>
      <c r="J1472" s="9">
        <v>1</v>
      </c>
      <c r="K1472" s="9">
        <v>272</v>
      </c>
      <c r="L1472" s="9">
        <v>2025</v>
      </c>
      <c r="M1472" s="8" t="s">
        <v>8630</v>
      </c>
      <c r="N1472" s="8" t="s">
        <v>42</v>
      </c>
      <c r="O1472" s="8" t="s">
        <v>65</v>
      </c>
      <c r="P1472" s="6" t="s">
        <v>44</v>
      </c>
      <c r="Q1472" s="8"/>
      <c r="R1472" s="10" t="s">
        <v>8631</v>
      </c>
      <c r="S1472" s="11"/>
      <c r="T1472" s="6"/>
      <c r="U1472" s="24" t="str">
        <f>HYPERLINK("https://media.infra-m.ru/2184/2184381/cover/2184381.jpg", "Обложка")</f>
        <v>Обложка</v>
      </c>
      <c r="V1472" s="24" t="str">
        <f>HYPERLINK("https://znanium.ru/catalog/product/1081977", "Ознакомиться")</f>
        <v>Ознакомиться</v>
      </c>
      <c r="W1472" s="8" t="s">
        <v>565</v>
      </c>
      <c r="X1472" s="6"/>
      <c r="Y1472" s="6"/>
      <c r="Z1472" s="6"/>
      <c r="AA1472" s="6" t="s">
        <v>1530</v>
      </c>
      <c r="AB1472" s="8"/>
    </row>
    <row r="1473" spans="1:28" s="4" customFormat="1" ht="51.95" customHeight="1">
      <c r="A1473" s="5">
        <v>0</v>
      </c>
      <c r="B1473" s="6" t="s">
        <v>8632</v>
      </c>
      <c r="C1473" s="7">
        <v>2872.8</v>
      </c>
      <c r="D1473" s="8" t="s">
        <v>8633</v>
      </c>
      <c r="E1473" s="8" t="s">
        <v>8634</v>
      </c>
      <c r="F1473" s="8" t="s">
        <v>6523</v>
      </c>
      <c r="G1473" s="6" t="s">
        <v>81</v>
      </c>
      <c r="H1473" s="6" t="s">
        <v>39</v>
      </c>
      <c r="I1473" s="8" t="s">
        <v>752</v>
      </c>
      <c r="J1473" s="9">
        <v>1</v>
      </c>
      <c r="K1473" s="9">
        <v>555</v>
      </c>
      <c r="L1473" s="9">
        <v>2023</v>
      </c>
      <c r="M1473" s="8" t="s">
        <v>8635</v>
      </c>
      <c r="N1473" s="8" t="s">
        <v>42</v>
      </c>
      <c r="O1473" s="8" t="s">
        <v>43</v>
      </c>
      <c r="P1473" s="6" t="s">
        <v>44</v>
      </c>
      <c r="Q1473" s="8" t="s">
        <v>45</v>
      </c>
      <c r="R1473" s="10" t="s">
        <v>8636</v>
      </c>
      <c r="S1473" s="11"/>
      <c r="T1473" s="6"/>
      <c r="U1473" s="24" t="str">
        <f>HYPERLINK("https://media.infra-m.ru/1964/1964964/cover/1964964.jpg", "Обложка")</f>
        <v>Обложка</v>
      </c>
      <c r="V1473" s="24" t="str">
        <f>HYPERLINK("https://znanium.ru/catalog/product/1964964", "Ознакомиться")</f>
        <v>Ознакомиться</v>
      </c>
      <c r="W1473" s="8" t="s">
        <v>2234</v>
      </c>
      <c r="X1473" s="6"/>
      <c r="Y1473" s="6"/>
      <c r="Z1473" s="6"/>
      <c r="AA1473" s="6" t="s">
        <v>168</v>
      </c>
      <c r="AB1473" s="8" t="s">
        <v>1902</v>
      </c>
    </row>
    <row r="1474" spans="1:28" s="4" customFormat="1" ht="51.95" customHeight="1">
      <c r="A1474" s="5">
        <v>0</v>
      </c>
      <c r="B1474" s="6" t="s">
        <v>8637</v>
      </c>
      <c r="C1474" s="13">
        <v>928.8</v>
      </c>
      <c r="D1474" s="8" t="s">
        <v>8638</v>
      </c>
      <c r="E1474" s="8" t="s">
        <v>8639</v>
      </c>
      <c r="F1474" s="8" t="s">
        <v>8640</v>
      </c>
      <c r="G1474" s="6" t="s">
        <v>38</v>
      </c>
      <c r="H1474" s="6" t="s">
        <v>39</v>
      </c>
      <c r="I1474" s="8" t="s">
        <v>40</v>
      </c>
      <c r="J1474" s="9">
        <v>1</v>
      </c>
      <c r="K1474" s="9">
        <v>155</v>
      </c>
      <c r="L1474" s="9">
        <v>2024</v>
      </c>
      <c r="M1474" s="8" t="s">
        <v>8641</v>
      </c>
      <c r="N1474" s="8" t="s">
        <v>54</v>
      </c>
      <c r="O1474" s="8" t="s">
        <v>55</v>
      </c>
      <c r="P1474" s="6" t="s">
        <v>44</v>
      </c>
      <c r="Q1474" s="8" t="s">
        <v>45</v>
      </c>
      <c r="R1474" s="10" t="s">
        <v>8642</v>
      </c>
      <c r="S1474" s="11"/>
      <c r="T1474" s="6"/>
      <c r="U1474" s="24" t="str">
        <f>HYPERLINK("https://media.infra-m.ru/2156/2156836/cover/2156836.jpg", "Обложка")</f>
        <v>Обложка</v>
      </c>
      <c r="V1474" s="24" t="str">
        <f>HYPERLINK("https://znanium.ru/catalog/product/1920305", "Ознакомиться")</f>
        <v>Ознакомиться</v>
      </c>
      <c r="W1474" s="8" t="s">
        <v>516</v>
      </c>
      <c r="X1474" s="6"/>
      <c r="Y1474" s="6"/>
      <c r="Z1474" s="6"/>
      <c r="AA1474" s="6" t="s">
        <v>725</v>
      </c>
      <c r="AB1474" s="8"/>
    </row>
    <row r="1475" spans="1:28" s="4" customFormat="1" ht="51.95" customHeight="1">
      <c r="A1475" s="5">
        <v>0</v>
      </c>
      <c r="B1475" s="6" t="s">
        <v>8643</v>
      </c>
      <c r="C1475" s="13">
        <v>492</v>
      </c>
      <c r="D1475" s="8" t="s">
        <v>8644</v>
      </c>
      <c r="E1475" s="8" t="s">
        <v>8645</v>
      </c>
      <c r="F1475" s="8" t="s">
        <v>8646</v>
      </c>
      <c r="G1475" s="6" t="s">
        <v>38</v>
      </c>
      <c r="H1475" s="6" t="s">
        <v>39</v>
      </c>
      <c r="I1475" s="8" t="s">
        <v>40</v>
      </c>
      <c r="J1475" s="9">
        <v>1</v>
      </c>
      <c r="K1475" s="9">
        <v>90</v>
      </c>
      <c r="L1475" s="9">
        <v>2022</v>
      </c>
      <c r="M1475" s="8" t="s">
        <v>8647</v>
      </c>
      <c r="N1475" s="8" t="s">
        <v>54</v>
      </c>
      <c r="O1475" s="8" t="s">
        <v>55</v>
      </c>
      <c r="P1475" s="6" t="s">
        <v>44</v>
      </c>
      <c r="Q1475" s="8" t="s">
        <v>45</v>
      </c>
      <c r="R1475" s="10" t="s">
        <v>8642</v>
      </c>
      <c r="S1475" s="11"/>
      <c r="T1475" s="6"/>
      <c r="U1475" s="24" t="str">
        <f>HYPERLINK("https://media.infra-m.ru/1862/1862650/cover/1862650.jpg", "Обложка")</f>
        <v>Обложка</v>
      </c>
      <c r="V1475" s="24" t="str">
        <f>HYPERLINK("https://znanium.ru/catalog/product/1920305", "Ознакомиться")</f>
        <v>Ознакомиться</v>
      </c>
      <c r="W1475" s="8" t="s">
        <v>516</v>
      </c>
      <c r="X1475" s="6"/>
      <c r="Y1475" s="6"/>
      <c r="Z1475" s="6"/>
      <c r="AA1475" s="6" t="s">
        <v>48</v>
      </c>
      <c r="AB1475" s="8"/>
    </row>
    <row r="1476" spans="1:28" s="4" customFormat="1" ht="42" customHeight="1">
      <c r="A1476" s="5">
        <v>0</v>
      </c>
      <c r="B1476" s="6" t="s">
        <v>8648</v>
      </c>
      <c r="C1476" s="13">
        <v>924</v>
      </c>
      <c r="D1476" s="8" t="s">
        <v>8649</v>
      </c>
      <c r="E1476" s="8" t="s">
        <v>8650</v>
      </c>
      <c r="F1476" s="8" t="s">
        <v>8651</v>
      </c>
      <c r="G1476" s="6" t="s">
        <v>38</v>
      </c>
      <c r="H1476" s="6" t="s">
        <v>39</v>
      </c>
      <c r="I1476" s="8" t="s">
        <v>40</v>
      </c>
      <c r="J1476" s="9">
        <v>1</v>
      </c>
      <c r="K1476" s="9">
        <v>177</v>
      </c>
      <c r="L1476" s="9">
        <v>2022</v>
      </c>
      <c r="M1476" s="8" t="s">
        <v>8652</v>
      </c>
      <c r="N1476" s="8" t="s">
        <v>42</v>
      </c>
      <c r="O1476" s="8" t="s">
        <v>65</v>
      </c>
      <c r="P1476" s="6" t="s">
        <v>44</v>
      </c>
      <c r="Q1476" s="8" t="s">
        <v>45</v>
      </c>
      <c r="R1476" s="10" t="s">
        <v>1772</v>
      </c>
      <c r="S1476" s="11"/>
      <c r="T1476" s="6"/>
      <c r="U1476" s="24" t="str">
        <f>HYPERLINK("https://media.infra-m.ru/1868/1868933/cover/1868933.jpg", "Обложка")</f>
        <v>Обложка</v>
      </c>
      <c r="V1476" s="24" t="str">
        <f>HYPERLINK("https://znanium.ru/catalog/product/1868933", "Ознакомиться")</f>
        <v>Ознакомиться</v>
      </c>
      <c r="W1476" s="8" t="s">
        <v>191</v>
      </c>
      <c r="X1476" s="6"/>
      <c r="Y1476" s="6"/>
      <c r="Z1476" s="6"/>
      <c r="AA1476" s="6" t="s">
        <v>111</v>
      </c>
      <c r="AB1476" s="8"/>
    </row>
    <row r="1477" spans="1:28" s="4" customFormat="1" ht="42" customHeight="1">
      <c r="A1477" s="5">
        <v>0</v>
      </c>
      <c r="B1477" s="6" t="s">
        <v>8653</v>
      </c>
      <c r="C1477" s="13">
        <v>624</v>
      </c>
      <c r="D1477" s="8" t="s">
        <v>8654</v>
      </c>
      <c r="E1477" s="8" t="s">
        <v>8655</v>
      </c>
      <c r="F1477" s="8" t="s">
        <v>1891</v>
      </c>
      <c r="G1477" s="6" t="s">
        <v>38</v>
      </c>
      <c r="H1477" s="6" t="s">
        <v>39</v>
      </c>
      <c r="I1477" s="8" t="s">
        <v>1893</v>
      </c>
      <c r="J1477" s="9">
        <v>1</v>
      </c>
      <c r="K1477" s="9">
        <v>104</v>
      </c>
      <c r="L1477" s="9">
        <v>2024</v>
      </c>
      <c r="M1477" s="8" t="s">
        <v>8656</v>
      </c>
      <c r="N1477" s="8" t="s">
        <v>42</v>
      </c>
      <c r="O1477" s="8" t="s">
        <v>101</v>
      </c>
      <c r="P1477" s="6" t="s">
        <v>1895</v>
      </c>
      <c r="Q1477" s="8" t="s">
        <v>45</v>
      </c>
      <c r="R1477" s="10" t="s">
        <v>8657</v>
      </c>
      <c r="S1477" s="11"/>
      <c r="T1477" s="6"/>
      <c r="U1477" s="24" t="str">
        <f>HYPERLINK("https://media.infra-m.ru/2177/2177684/cover/2177684.jpg", "Обложка")</f>
        <v>Обложка</v>
      </c>
      <c r="V1477" s="24" t="str">
        <f>HYPERLINK("https://znanium.ru/catalog/product/2200870", "Ознакомиться")</f>
        <v>Ознакомиться</v>
      </c>
      <c r="W1477" s="8"/>
      <c r="X1477" s="6"/>
      <c r="Y1477" s="6"/>
      <c r="Z1477" s="6"/>
      <c r="AA1477" s="6" t="s">
        <v>8658</v>
      </c>
      <c r="AB1477" s="8"/>
    </row>
    <row r="1478" spans="1:28" s="4" customFormat="1" ht="42" customHeight="1">
      <c r="A1478" s="5">
        <v>0</v>
      </c>
      <c r="B1478" s="6" t="s">
        <v>8659</v>
      </c>
      <c r="C1478" s="13">
        <v>660</v>
      </c>
      <c r="D1478" s="8" t="s">
        <v>8660</v>
      </c>
      <c r="E1478" s="8" t="s">
        <v>8661</v>
      </c>
      <c r="F1478" s="8" t="s">
        <v>1891</v>
      </c>
      <c r="G1478" s="6" t="s">
        <v>38</v>
      </c>
      <c r="H1478" s="6" t="s">
        <v>39</v>
      </c>
      <c r="I1478" s="8" t="s">
        <v>1893</v>
      </c>
      <c r="J1478" s="9">
        <v>1</v>
      </c>
      <c r="K1478" s="9">
        <v>104</v>
      </c>
      <c r="L1478" s="9">
        <v>2025</v>
      </c>
      <c r="M1478" s="8" t="s">
        <v>8662</v>
      </c>
      <c r="N1478" s="8" t="s">
        <v>42</v>
      </c>
      <c r="O1478" s="8" t="s">
        <v>101</v>
      </c>
      <c r="P1478" s="6" t="s">
        <v>1895</v>
      </c>
      <c r="Q1478" s="8" t="s">
        <v>45</v>
      </c>
      <c r="R1478" s="10" t="s">
        <v>8657</v>
      </c>
      <c r="S1478" s="11"/>
      <c r="T1478" s="6"/>
      <c r="U1478" s="24" t="str">
        <f>HYPERLINK("https://media.infra-m.ru/2200/2200870/cover/2200870.jpg", "Обложка")</f>
        <v>Обложка</v>
      </c>
      <c r="V1478" s="24" t="str">
        <f>HYPERLINK("https://znanium.ru/catalog/product/2200870", "Ознакомиться")</f>
        <v>Ознакомиться</v>
      </c>
      <c r="W1478" s="8"/>
      <c r="X1478" s="6" t="s">
        <v>320</v>
      </c>
      <c r="Y1478" s="6"/>
      <c r="Z1478" s="6"/>
      <c r="AA1478" s="6" t="s">
        <v>8663</v>
      </c>
      <c r="AB1478" s="8"/>
    </row>
    <row r="1479" spans="1:28" s="4" customFormat="1" ht="42" customHeight="1">
      <c r="A1479" s="5">
        <v>0</v>
      </c>
      <c r="B1479" s="6" t="s">
        <v>8664</v>
      </c>
      <c r="C1479" s="13">
        <v>432</v>
      </c>
      <c r="D1479" s="8" t="s">
        <v>8665</v>
      </c>
      <c r="E1479" s="8" t="s">
        <v>8666</v>
      </c>
      <c r="F1479" s="8" t="s">
        <v>1891</v>
      </c>
      <c r="G1479" s="6" t="s">
        <v>38</v>
      </c>
      <c r="H1479" s="6" t="s">
        <v>39</v>
      </c>
      <c r="I1479" s="8" t="s">
        <v>1893</v>
      </c>
      <c r="J1479" s="9">
        <v>1</v>
      </c>
      <c r="K1479" s="9">
        <v>98</v>
      </c>
      <c r="L1479" s="9">
        <v>2021</v>
      </c>
      <c r="M1479" s="8" t="s">
        <v>8667</v>
      </c>
      <c r="N1479" s="8" t="s">
        <v>42</v>
      </c>
      <c r="O1479" s="8" t="s">
        <v>101</v>
      </c>
      <c r="P1479" s="6" t="s">
        <v>1895</v>
      </c>
      <c r="Q1479" s="8" t="s">
        <v>45</v>
      </c>
      <c r="R1479" s="10" t="s">
        <v>8657</v>
      </c>
      <c r="S1479" s="11"/>
      <c r="T1479" s="6"/>
      <c r="U1479" s="24" t="str">
        <f>HYPERLINK("https://media.infra-m.ru/1455/1455885/cover/1455885.jpg", "Обложка")</f>
        <v>Обложка</v>
      </c>
      <c r="V1479" s="24" t="str">
        <f>HYPERLINK("https://znanium.ru/catalog/product/2200870", "Ознакомиться")</f>
        <v>Ознакомиться</v>
      </c>
      <c r="W1479" s="8"/>
      <c r="X1479" s="6"/>
      <c r="Y1479" s="6"/>
      <c r="Z1479" s="6"/>
      <c r="AA1479" s="6" t="s">
        <v>4541</v>
      </c>
      <c r="AB1479" s="8"/>
    </row>
    <row r="1480" spans="1:28" s="4" customFormat="1" ht="42" customHeight="1">
      <c r="A1480" s="5">
        <v>0</v>
      </c>
      <c r="B1480" s="6" t="s">
        <v>8668</v>
      </c>
      <c r="C1480" s="13">
        <v>540</v>
      </c>
      <c r="D1480" s="8" t="s">
        <v>8669</v>
      </c>
      <c r="E1480" s="8" t="s">
        <v>8670</v>
      </c>
      <c r="F1480" s="8" t="s">
        <v>1891</v>
      </c>
      <c r="G1480" s="6" t="s">
        <v>38</v>
      </c>
      <c r="H1480" s="6" t="s">
        <v>39</v>
      </c>
      <c r="I1480" s="8" t="s">
        <v>1893</v>
      </c>
      <c r="J1480" s="9">
        <v>1</v>
      </c>
      <c r="K1480" s="9">
        <v>104</v>
      </c>
      <c r="L1480" s="9">
        <v>2023</v>
      </c>
      <c r="M1480" s="8" t="s">
        <v>8671</v>
      </c>
      <c r="N1480" s="8" t="s">
        <v>42</v>
      </c>
      <c r="O1480" s="8" t="s">
        <v>101</v>
      </c>
      <c r="P1480" s="6" t="s">
        <v>1895</v>
      </c>
      <c r="Q1480" s="8" t="s">
        <v>45</v>
      </c>
      <c r="R1480" s="10" t="s">
        <v>8657</v>
      </c>
      <c r="S1480" s="11"/>
      <c r="T1480" s="6"/>
      <c r="U1480" s="24" t="str">
        <f>HYPERLINK("https://media.infra-m.ru/1962/1962499/cover/1962499.jpg", "Обложка")</f>
        <v>Обложка</v>
      </c>
      <c r="V1480" s="24" t="str">
        <f>HYPERLINK("https://znanium.ru/catalog/product/2200870", "Ознакомиться")</f>
        <v>Ознакомиться</v>
      </c>
      <c r="W1480" s="8"/>
      <c r="X1480" s="6"/>
      <c r="Y1480" s="6"/>
      <c r="Z1480" s="6"/>
      <c r="AA1480" s="6" t="s">
        <v>8672</v>
      </c>
      <c r="AB1480" s="8"/>
    </row>
    <row r="1481" spans="1:28" s="4" customFormat="1" ht="42" customHeight="1">
      <c r="A1481" s="5">
        <v>0</v>
      </c>
      <c r="B1481" s="6" t="s">
        <v>8673</v>
      </c>
      <c r="C1481" s="13">
        <v>456</v>
      </c>
      <c r="D1481" s="8" t="s">
        <v>8674</v>
      </c>
      <c r="E1481" s="8" t="s">
        <v>8675</v>
      </c>
      <c r="F1481" s="8"/>
      <c r="G1481" s="6" t="s">
        <v>38</v>
      </c>
      <c r="H1481" s="6" t="s">
        <v>39</v>
      </c>
      <c r="I1481" s="8" t="s">
        <v>1893</v>
      </c>
      <c r="J1481" s="9">
        <v>1</v>
      </c>
      <c r="K1481" s="9">
        <v>98</v>
      </c>
      <c r="L1481" s="9">
        <v>2021</v>
      </c>
      <c r="M1481" s="8" t="s">
        <v>8676</v>
      </c>
      <c r="N1481" s="8" t="s">
        <v>42</v>
      </c>
      <c r="O1481" s="8" t="s">
        <v>101</v>
      </c>
      <c r="P1481" s="6" t="s">
        <v>1895</v>
      </c>
      <c r="Q1481" s="8" t="s">
        <v>45</v>
      </c>
      <c r="R1481" s="10" t="s">
        <v>8657</v>
      </c>
      <c r="S1481" s="11"/>
      <c r="T1481" s="6"/>
      <c r="U1481" s="24" t="str">
        <f>HYPERLINK("https://media.infra-m.ru/1814/1814619/cover/1814619.jpg", "Обложка")</f>
        <v>Обложка</v>
      </c>
      <c r="V1481" s="24" t="str">
        <f>HYPERLINK("https://znanium.ru/catalog/product/2200870", "Ознакомиться")</f>
        <v>Ознакомиться</v>
      </c>
      <c r="W1481" s="8"/>
      <c r="X1481" s="6"/>
      <c r="Y1481" s="6"/>
      <c r="Z1481" s="6"/>
      <c r="AA1481" s="6" t="s">
        <v>4405</v>
      </c>
      <c r="AB1481" s="8"/>
    </row>
    <row r="1482" spans="1:28" s="4" customFormat="1" ht="42" customHeight="1">
      <c r="A1482" s="5">
        <v>0</v>
      </c>
      <c r="B1482" s="6" t="s">
        <v>8677</v>
      </c>
      <c r="C1482" s="13">
        <v>504</v>
      </c>
      <c r="D1482" s="8" t="s">
        <v>8678</v>
      </c>
      <c r="E1482" s="8" t="s">
        <v>8679</v>
      </c>
      <c r="F1482" s="8" t="s">
        <v>1891</v>
      </c>
      <c r="G1482" s="6" t="s">
        <v>38</v>
      </c>
      <c r="H1482" s="6" t="s">
        <v>39</v>
      </c>
      <c r="I1482" s="8" t="s">
        <v>1893</v>
      </c>
      <c r="J1482" s="9">
        <v>1</v>
      </c>
      <c r="K1482" s="9">
        <v>100</v>
      </c>
      <c r="L1482" s="9">
        <v>2022</v>
      </c>
      <c r="M1482" s="8" t="s">
        <v>8680</v>
      </c>
      <c r="N1482" s="8" t="s">
        <v>42</v>
      </c>
      <c r="O1482" s="8" t="s">
        <v>101</v>
      </c>
      <c r="P1482" s="6" t="s">
        <v>1895</v>
      </c>
      <c r="Q1482" s="8" t="s">
        <v>45</v>
      </c>
      <c r="R1482" s="10" t="s">
        <v>8657</v>
      </c>
      <c r="S1482" s="11"/>
      <c r="T1482" s="6"/>
      <c r="U1482" s="24" t="str">
        <f>HYPERLINK("https://media.infra-m.ru/1866/1866823/cover/1866823.jpg", "Обложка")</f>
        <v>Обложка</v>
      </c>
      <c r="V1482" s="24" t="str">
        <f>HYPERLINK("https://znanium.ru/catalog/product/2200870", "Ознакомиться")</f>
        <v>Ознакомиться</v>
      </c>
      <c r="W1482" s="8"/>
      <c r="X1482" s="6"/>
      <c r="Y1482" s="6"/>
      <c r="Z1482" s="6"/>
      <c r="AA1482" s="6" t="s">
        <v>8681</v>
      </c>
      <c r="AB1482" s="8"/>
    </row>
    <row r="1483" spans="1:28" s="4" customFormat="1" ht="42" customHeight="1">
      <c r="A1483" s="5">
        <v>0</v>
      </c>
      <c r="B1483" s="6" t="s">
        <v>8682</v>
      </c>
      <c r="C1483" s="13">
        <v>468</v>
      </c>
      <c r="D1483" s="8" t="s">
        <v>8683</v>
      </c>
      <c r="E1483" s="8" t="s">
        <v>8684</v>
      </c>
      <c r="F1483" s="8"/>
      <c r="G1483" s="6" t="s">
        <v>38</v>
      </c>
      <c r="H1483" s="6" t="s">
        <v>39</v>
      </c>
      <c r="I1483" s="8" t="s">
        <v>1893</v>
      </c>
      <c r="J1483" s="9">
        <v>1</v>
      </c>
      <c r="K1483" s="9">
        <v>98</v>
      </c>
      <c r="L1483" s="9">
        <v>2022</v>
      </c>
      <c r="M1483" s="8" t="s">
        <v>8685</v>
      </c>
      <c r="N1483" s="8" t="s">
        <v>42</v>
      </c>
      <c r="O1483" s="8" t="s">
        <v>101</v>
      </c>
      <c r="P1483" s="6" t="s">
        <v>1895</v>
      </c>
      <c r="Q1483" s="8" t="s">
        <v>45</v>
      </c>
      <c r="R1483" s="10" t="s">
        <v>8657</v>
      </c>
      <c r="S1483" s="11"/>
      <c r="T1483" s="6"/>
      <c r="U1483" s="24" t="str">
        <f>HYPERLINK("https://media.infra-m.ru/1844/1844856/cover/1844856.jpg", "Обложка")</f>
        <v>Обложка</v>
      </c>
      <c r="V1483" s="24" t="str">
        <f>HYPERLINK("https://znanium.ru/catalog/product/2200870", "Ознакомиться")</f>
        <v>Ознакомиться</v>
      </c>
      <c r="W1483" s="8"/>
      <c r="X1483" s="6"/>
      <c r="Y1483" s="6"/>
      <c r="Z1483" s="6"/>
      <c r="AA1483" s="6" t="s">
        <v>8686</v>
      </c>
      <c r="AB1483" s="8"/>
    </row>
    <row r="1484" spans="1:28" s="4" customFormat="1" ht="51.95" customHeight="1">
      <c r="A1484" s="5">
        <v>0</v>
      </c>
      <c r="B1484" s="6" t="s">
        <v>8687</v>
      </c>
      <c r="C1484" s="7">
        <v>1356</v>
      </c>
      <c r="D1484" s="8" t="s">
        <v>8688</v>
      </c>
      <c r="E1484" s="8" t="s">
        <v>8689</v>
      </c>
      <c r="F1484" s="8" t="s">
        <v>8690</v>
      </c>
      <c r="G1484" s="6" t="s">
        <v>38</v>
      </c>
      <c r="H1484" s="6" t="s">
        <v>39</v>
      </c>
      <c r="I1484" s="8" t="s">
        <v>40</v>
      </c>
      <c r="J1484" s="9">
        <v>1</v>
      </c>
      <c r="K1484" s="9">
        <v>267</v>
      </c>
      <c r="L1484" s="9">
        <v>2022</v>
      </c>
      <c r="M1484" s="8" t="s">
        <v>8691</v>
      </c>
      <c r="N1484" s="8" t="s">
        <v>220</v>
      </c>
      <c r="O1484" s="8" t="s">
        <v>252</v>
      </c>
      <c r="P1484" s="6" t="s">
        <v>44</v>
      </c>
      <c r="Q1484" s="8" t="s">
        <v>45</v>
      </c>
      <c r="R1484" s="10" t="s">
        <v>8692</v>
      </c>
      <c r="S1484" s="11"/>
      <c r="T1484" s="6"/>
      <c r="U1484" s="24" t="str">
        <f>HYPERLINK("https://media.infra-m.ru/1870/1870597/cover/1870597.jpg", "Обложка")</f>
        <v>Обложка</v>
      </c>
      <c r="V1484" s="24" t="str">
        <f>HYPERLINK("https://znanium.ru/catalog/product/1870597", "Ознакомиться")</f>
        <v>Ознакомиться</v>
      </c>
      <c r="W1484" s="8" t="s">
        <v>176</v>
      </c>
      <c r="X1484" s="6"/>
      <c r="Y1484" s="6"/>
      <c r="Z1484" s="6"/>
      <c r="AA1484" s="6" t="s">
        <v>111</v>
      </c>
      <c r="AB1484" s="8"/>
    </row>
    <row r="1485" spans="1:28" s="4" customFormat="1" ht="33" customHeight="1">
      <c r="A1485" s="5">
        <v>0</v>
      </c>
      <c r="B1485" s="6" t="s">
        <v>8693</v>
      </c>
      <c r="C1485" s="7">
        <v>1190.3</v>
      </c>
      <c r="D1485" s="8" t="s">
        <v>8694</v>
      </c>
      <c r="E1485" s="8" t="s">
        <v>8695</v>
      </c>
      <c r="F1485" s="8" t="s">
        <v>8696</v>
      </c>
      <c r="G1485" s="6" t="s">
        <v>132</v>
      </c>
      <c r="H1485" s="6" t="s">
        <v>571</v>
      </c>
      <c r="I1485" s="8"/>
      <c r="J1485" s="9">
        <v>1</v>
      </c>
      <c r="K1485" s="9">
        <v>176</v>
      </c>
      <c r="L1485" s="9">
        <v>2020</v>
      </c>
      <c r="M1485" s="8" t="s">
        <v>8697</v>
      </c>
      <c r="N1485" s="8" t="s">
        <v>42</v>
      </c>
      <c r="O1485" s="8" t="s">
        <v>189</v>
      </c>
      <c r="P1485" s="6" t="s">
        <v>44</v>
      </c>
      <c r="Q1485" s="8" t="s">
        <v>45</v>
      </c>
      <c r="R1485" s="10"/>
      <c r="S1485" s="11"/>
      <c r="T1485" s="6"/>
      <c r="U1485" s="12"/>
      <c r="V1485" s="12"/>
      <c r="W1485" s="8" t="s">
        <v>191</v>
      </c>
      <c r="X1485" s="6"/>
      <c r="Y1485" s="6"/>
      <c r="Z1485" s="6"/>
      <c r="AA1485" s="6" t="s">
        <v>168</v>
      </c>
      <c r="AB1485" s="8"/>
    </row>
    <row r="1486" spans="1:28" s="4" customFormat="1" ht="51.95" customHeight="1">
      <c r="A1486" s="5">
        <v>0</v>
      </c>
      <c r="B1486" s="6" t="s">
        <v>8698</v>
      </c>
      <c r="C1486" s="13">
        <v>792</v>
      </c>
      <c r="D1486" s="8" t="s">
        <v>8699</v>
      </c>
      <c r="E1486" s="8" t="s">
        <v>8700</v>
      </c>
      <c r="F1486" s="8" t="s">
        <v>8701</v>
      </c>
      <c r="G1486" s="6" t="s">
        <v>38</v>
      </c>
      <c r="H1486" s="6" t="s">
        <v>39</v>
      </c>
      <c r="I1486" s="8" t="s">
        <v>1879</v>
      </c>
      <c r="J1486" s="9">
        <v>1</v>
      </c>
      <c r="K1486" s="9">
        <v>134</v>
      </c>
      <c r="L1486" s="9">
        <v>2024</v>
      </c>
      <c r="M1486" s="8" t="s">
        <v>8702</v>
      </c>
      <c r="N1486" s="8" t="s">
        <v>42</v>
      </c>
      <c r="O1486" s="8" t="s">
        <v>189</v>
      </c>
      <c r="P1486" s="6" t="s">
        <v>44</v>
      </c>
      <c r="Q1486" s="8" t="s">
        <v>45</v>
      </c>
      <c r="R1486" s="10" t="s">
        <v>8703</v>
      </c>
      <c r="S1486" s="11"/>
      <c r="T1486" s="6"/>
      <c r="U1486" s="24" t="str">
        <f>HYPERLINK("https://media.infra-m.ru/2138/2138764/cover/2138764.jpg", "Обложка")</f>
        <v>Обложка</v>
      </c>
      <c r="V1486" s="24" t="str">
        <f>HYPERLINK("https://znanium.ru/catalog/product/2138764", "Ознакомиться")</f>
        <v>Ознакомиться</v>
      </c>
      <c r="W1486" s="8" t="s">
        <v>6507</v>
      </c>
      <c r="X1486" s="6"/>
      <c r="Y1486" s="6"/>
      <c r="Z1486" s="6"/>
      <c r="AA1486" s="6" t="s">
        <v>68</v>
      </c>
      <c r="AB1486" s="8"/>
    </row>
    <row r="1487" spans="1:28" s="4" customFormat="1" ht="51.95" customHeight="1">
      <c r="A1487" s="5">
        <v>0</v>
      </c>
      <c r="B1487" s="6" t="s">
        <v>8704</v>
      </c>
      <c r="C1487" s="7">
        <v>2230.8000000000002</v>
      </c>
      <c r="D1487" s="8" t="s">
        <v>8705</v>
      </c>
      <c r="E1487" s="8" t="s">
        <v>8706</v>
      </c>
      <c r="F1487" s="8" t="s">
        <v>8707</v>
      </c>
      <c r="G1487" s="6" t="s">
        <v>81</v>
      </c>
      <c r="H1487" s="6" t="s">
        <v>39</v>
      </c>
      <c r="I1487" s="8" t="s">
        <v>237</v>
      </c>
      <c r="J1487" s="9">
        <v>1</v>
      </c>
      <c r="K1487" s="9">
        <v>306</v>
      </c>
      <c r="L1487" s="9">
        <v>2025</v>
      </c>
      <c r="M1487" s="8" t="s">
        <v>8708</v>
      </c>
      <c r="N1487" s="8" t="s">
        <v>738</v>
      </c>
      <c r="O1487" s="8" t="s">
        <v>8709</v>
      </c>
      <c r="P1487" s="6" t="s">
        <v>239</v>
      </c>
      <c r="Q1487" s="8" t="s">
        <v>1058</v>
      </c>
      <c r="R1487" s="10" t="s">
        <v>8710</v>
      </c>
      <c r="S1487" s="11"/>
      <c r="T1487" s="6"/>
      <c r="U1487" s="24" t="str">
        <f>HYPERLINK("https://media.infra-m.ru/2160/2160350/cover/2160350.jpg", "Обложка")</f>
        <v>Обложка</v>
      </c>
      <c r="V1487" s="24" t="str">
        <f>HYPERLINK("https://znanium.ru/catalog/product/2160350", "Ознакомиться")</f>
        <v>Ознакомиться</v>
      </c>
      <c r="W1487" s="8" t="s">
        <v>3941</v>
      </c>
      <c r="X1487" s="6"/>
      <c r="Y1487" s="6"/>
      <c r="Z1487" s="6"/>
      <c r="AA1487" s="6" t="s">
        <v>111</v>
      </c>
      <c r="AB1487" s="8"/>
    </row>
    <row r="1488" spans="1:28" s="4" customFormat="1" ht="42" customHeight="1">
      <c r="A1488" s="5">
        <v>0</v>
      </c>
      <c r="B1488" s="6" t="s">
        <v>8711</v>
      </c>
      <c r="C1488" s="7">
        <v>1212</v>
      </c>
      <c r="D1488" s="8" t="s">
        <v>8712</v>
      </c>
      <c r="E1488" s="8" t="s">
        <v>8713</v>
      </c>
      <c r="F1488" s="8" t="s">
        <v>8714</v>
      </c>
      <c r="G1488" s="6" t="s">
        <v>81</v>
      </c>
      <c r="H1488" s="6" t="s">
        <v>39</v>
      </c>
      <c r="I1488" s="8" t="s">
        <v>40</v>
      </c>
      <c r="J1488" s="9">
        <v>1</v>
      </c>
      <c r="K1488" s="9">
        <v>224</v>
      </c>
      <c r="L1488" s="9">
        <v>2023</v>
      </c>
      <c r="M1488" s="8" t="s">
        <v>8715</v>
      </c>
      <c r="N1488" s="8" t="s">
        <v>42</v>
      </c>
      <c r="O1488" s="8" t="s">
        <v>101</v>
      </c>
      <c r="P1488" s="6" t="s">
        <v>44</v>
      </c>
      <c r="Q1488" s="8" t="s">
        <v>45</v>
      </c>
      <c r="R1488" s="10" t="s">
        <v>564</v>
      </c>
      <c r="S1488" s="11"/>
      <c r="T1488" s="6"/>
      <c r="U1488" s="24" t="str">
        <f>HYPERLINK("https://media.infra-m.ru/1969/1969538/cover/1969538.jpg", "Обложка")</f>
        <v>Обложка</v>
      </c>
      <c r="V1488" s="24" t="str">
        <f>HYPERLINK("https://znanium.ru/catalog/product/1969538", "Ознакомиться")</f>
        <v>Ознакомиться</v>
      </c>
      <c r="W1488" s="8" t="s">
        <v>791</v>
      </c>
      <c r="X1488" s="6"/>
      <c r="Y1488" s="6"/>
      <c r="Z1488" s="6"/>
      <c r="AA1488" s="6" t="s">
        <v>1494</v>
      </c>
      <c r="AB1488" s="8"/>
    </row>
    <row r="1489" spans="1:28" s="4" customFormat="1" ht="51.95" customHeight="1">
      <c r="A1489" s="5">
        <v>0</v>
      </c>
      <c r="B1489" s="6" t="s">
        <v>8716</v>
      </c>
      <c r="C1489" s="7">
        <v>1432.8</v>
      </c>
      <c r="D1489" s="8" t="s">
        <v>8717</v>
      </c>
      <c r="E1489" s="8" t="s">
        <v>8718</v>
      </c>
      <c r="F1489" s="8" t="s">
        <v>8719</v>
      </c>
      <c r="G1489" s="6" t="s">
        <v>81</v>
      </c>
      <c r="H1489" s="6" t="s">
        <v>39</v>
      </c>
      <c r="I1489" s="8" t="s">
        <v>40</v>
      </c>
      <c r="J1489" s="9">
        <v>1</v>
      </c>
      <c r="K1489" s="9">
        <v>230</v>
      </c>
      <c r="L1489" s="9">
        <v>2025</v>
      </c>
      <c r="M1489" s="8" t="s">
        <v>8720</v>
      </c>
      <c r="N1489" s="8" t="s">
        <v>42</v>
      </c>
      <c r="O1489" s="8" t="s">
        <v>1315</v>
      </c>
      <c r="P1489" s="6" t="s">
        <v>44</v>
      </c>
      <c r="Q1489" s="8" t="s">
        <v>45</v>
      </c>
      <c r="R1489" s="10" t="s">
        <v>8721</v>
      </c>
      <c r="S1489" s="11"/>
      <c r="T1489" s="6"/>
      <c r="U1489" s="24" t="str">
        <f>HYPERLINK("https://media.infra-m.ru/2195/2195985/cover/2195985.jpg", "Обложка")</f>
        <v>Обложка</v>
      </c>
      <c r="V1489" s="24" t="str">
        <f>HYPERLINK("https://znanium.ru/catalog/product/2127280", "Ознакомиться")</f>
        <v>Ознакомиться</v>
      </c>
      <c r="W1489" s="8" t="s">
        <v>2935</v>
      </c>
      <c r="X1489" s="6"/>
      <c r="Y1489" s="6"/>
      <c r="Z1489" s="6"/>
      <c r="AA1489" s="6" t="s">
        <v>111</v>
      </c>
      <c r="AB1489" s="8"/>
    </row>
    <row r="1490" spans="1:28" s="4" customFormat="1" ht="42" customHeight="1">
      <c r="A1490" s="5">
        <v>0</v>
      </c>
      <c r="B1490" s="6" t="s">
        <v>8722</v>
      </c>
      <c r="C1490" s="7">
        <v>1000.8</v>
      </c>
      <c r="D1490" s="8" t="s">
        <v>8723</v>
      </c>
      <c r="E1490" s="8" t="s">
        <v>8724</v>
      </c>
      <c r="F1490" s="8" t="s">
        <v>1371</v>
      </c>
      <c r="G1490" s="6" t="s">
        <v>38</v>
      </c>
      <c r="H1490" s="6" t="s">
        <v>99</v>
      </c>
      <c r="I1490" s="8"/>
      <c r="J1490" s="9">
        <v>1</v>
      </c>
      <c r="K1490" s="9">
        <v>166</v>
      </c>
      <c r="L1490" s="9">
        <v>2025</v>
      </c>
      <c r="M1490" s="8" t="s">
        <v>8725</v>
      </c>
      <c r="N1490" s="8" t="s">
        <v>42</v>
      </c>
      <c r="O1490" s="8" t="s">
        <v>101</v>
      </c>
      <c r="P1490" s="6" t="s">
        <v>44</v>
      </c>
      <c r="Q1490" s="8" t="s">
        <v>45</v>
      </c>
      <c r="R1490" s="10" t="s">
        <v>2946</v>
      </c>
      <c r="S1490" s="11"/>
      <c r="T1490" s="6"/>
      <c r="U1490" s="24" t="str">
        <f>HYPERLINK("https://media.infra-m.ru/2170/2170336/cover/2170336.jpg", "Обложка")</f>
        <v>Обложка</v>
      </c>
      <c r="V1490" s="24" t="str">
        <f>HYPERLINK("https://znanium.ru/catalog/product/2230935", "Ознакомиться")</f>
        <v>Ознакомиться</v>
      </c>
      <c r="W1490" s="8" t="s">
        <v>418</v>
      </c>
      <c r="X1490" s="6"/>
      <c r="Y1490" s="6"/>
      <c r="Z1490" s="6"/>
      <c r="AA1490" s="6" t="s">
        <v>369</v>
      </c>
      <c r="AB1490" s="8"/>
    </row>
    <row r="1491" spans="1:28" s="4" customFormat="1" ht="51.95" customHeight="1">
      <c r="A1491" s="5">
        <v>0</v>
      </c>
      <c r="B1491" s="6" t="s">
        <v>8726</v>
      </c>
      <c r="C1491" s="7">
        <v>1504.8</v>
      </c>
      <c r="D1491" s="8" t="s">
        <v>8727</v>
      </c>
      <c r="E1491" s="8" t="s">
        <v>8728</v>
      </c>
      <c r="F1491" s="8" t="s">
        <v>5468</v>
      </c>
      <c r="G1491" s="6" t="s">
        <v>38</v>
      </c>
      <c r="H1491" s="6" t="s">
        <v>99</v>
      </c>
      <c r="I1491" s="8"/>
      <c r="J1491" s="9">
        <v>1</v>
      </c>
      <c r="K1491" s="9">
        <v>240</v>
      </c>
      <c r="L1491" s="9">
        <v>2025</v>
      </c>
      <c r="M1491" s="8" t="s">
        <v>8729</v>
      </c>
      <c r="N1491" s="8" t="s">
        <v>42</v>
      </c>
      <c r="O1491" s="8" t="s">
        <v>101</v>
      </c>
      <c r="P1491" s="6" t="s">
        <v>44</v>
      </c>
      <c r="Q1491" s="8" t="s">
        <v>45</v>
      </c>
      <c r="R1491" s="10" t="s">
        <v>680</v>
      </c>
      <c r="S1491" s="11"/>
      <c r="T1491" s="6"/>
      <c r="U1491" s="24" t="str">
        <f>HYPERLINK("https://media.infra-m.ru/2192/2192436/cover/2192436.jpg", "Обложка")</f>
        <v>Обложка</v>
      </c>
      <c r="V1491" s="24" t="str">
        <f>HYPERLINK("https://znanium.ru/catalog/product/1902900", "Ознакомиться")</f>
        <v>Ознакомиться</v>
      </c>
      <c r="W1491" s="8" t="s">
        <v>5471</v>
      </c>
      <c r="X1491" s="6"/>
      <c r="Y1491" s="6"/>
      <c r="Z1491" s="6"/>
      <c r="AA1491" s="6" t="s">
        <v>290</v>
      </c>
      <c r="AB1491" s="8"/>
    </row>
    <row r="1492" spans="1:28" s="4" customFormat="1" ht="44.1" customHeight="1">
      <c r="A1492" s="5">
        <v>0</v>
      </c>
      <c r="B1492" s="6" t="s">
        <v>8730</v>
      </c>
      <c r="C1492" s="13">
        <v>708</v>
      </c>
      <c r="D1492" s="8" t="s">
        <v>8731</v>
      </c>
      <c r="E1492" s="8" t="s">
        <v>8732</v>
      </c>
      <c r="F1492" s="8" t="s">
        <v>1891</v>
      </c>
      <c r="G1492" s="6" t="s">
        <v>38</v>
      </c>
      <c r="H1492" s="6" t="s">
        <v>39</v>
      </c>
      <c r="I1492" s="8"/>
      <c r="J1492" s="9">
        <v>1</v>
      </c>
      <c r="K1492" s="9">
        <v>108</v>
      </c>
      <c r="L1492" s="9">
        <v>2024</v>
      </c>
      <c r="M1492" s="8" t="s">
        <v>8733</v>
      </c>
      <c r="N1492" s="8" t="s">
        <v>42</v>
      </c>
      <c r="O1492" s="8" t="s">
        <v>101</v>
      </c>
      <c r="P1492" s="6" t="s">
        <v>3768</v>
      </c>
      <c r="Q1492" s="8" t="s">
        <v>45</v>
      </c>
      <c r="R1492" s="10" t="s">
        <v>8734</v>
      </c>
      <c r="S1492" s="11"/>
      <c r="T1492" s="6"/>
      <c r="U1492" s="24" t="str">
        <f>HYPERLINK("https://media.infra-m.ru/2139/2139779/cover/2139779.jpg", "Обложка")</f>
        <v>Обложка</v>
      </c>
      <c r="V1492" s="24" t="str">
        <f>HYPERLINK("https://znanium.ru/catalog/product/2139779", "Ознакомиться")</f>
        <v>Ознакомиться</v>
      </c>
      <c r="W1492" s="8"/>
      <c r="X1492" s="6"/>
      <c r="Y1492" s="6"/>
      <c r="Z1492" s="6"/>
      <c r="AA1492" s="6" t="s">
        <v>58</v>
      </c>
      <c r="AB1492" s="8"/>
    </row>
    <row r="1493" spans="1:28" s="4" customFormat="1" ht="42" customHeight="1">
      <c r="A1493" s="5">
        <v>0</v>
      </c>
      <c r="B1493" s="6" t="s">
        <v>8735</v>
      </c>
      <c r="C1493" s="7">
        <v>1540.8</v>
      </c>
      <c r="D1493" s="8" t="s">
        <v>8736</v>
      </c>
      <c r="E1493" s="8" t="s">
        <v>8737</v>
      </c>
      <c r="F1493" s="8" t="s">
        <v>8738</v>
      </c>
      <c r="G1493" s="6" t="s">
        <v>38</v>
      </c>
      <c r="H1493" s="6" t="s">
        <v>39</v>
      </c>
      <c r="I1493" s="8" t="s">
        <v>2342</v>
      </c>
      <c r="J1493" s="9">
        <v>1</v>
      </c>
      <c r="K1493" s="9">
        <v>256</v>
      </c>
      <c r="L1493" s="9">
        <v>2025</v>
      </c>
      <c r="M1493" s="8" t="s">
        <v>8739</v>
      </c>
      <c r="N1493" s="8" t="s">
        <v>42</v>
      </c>
      <c r="O1493" s="8" t="s">
        <v>189</v>
      </c>
      <c r="P1493" s="6" t="s">
        <v>44</v>
      </c>
      <c r="Q1493" s="8" t="s">
        <v>45</v>
      </c>
      <c r="R1493" s="10" t="s">
        <v>8740</v>
      </c>
      <c r="S1493" s="11"/>
      <c r="T1493" s="6"/>
      <c r="U1493" s="24" t="str">
        <f>HYPERLINK("https://media.infra-m.ru/2165/2165905/cover/2165905.jpg", "Обложка")</f>
        <v>Обложка</v>
      </c>
      <c r="V1493" s="24" t="str">
        <f>HYPERLINK("https://znanium.ru/catalog/product/2145473", "Ознакомиться")</f>
        <v>Ознакомиться</v>
      </c>
      <c r="W1493" s="8" t="s">
        <v>232</v>
      </c>
      <c r="X1493" s="6"/>
      <c r="Y1493" s="6"/>
      <c r="Z1493" s="6"/>
      <c r="AA1493" s="6" t="s">
        <v>168</v>
      </c>
      <c r="AB1493" s="8"/>
    </row>
    <row r="1494" spans="1:28" s="4" customFormat="1" ht="42" customHeight="1">
      <c r="A1494" s="5">
        <v>0</v>
      </c>
      <c r="B1494" s="6" t="s">
        <v>8741</v>
      </c>
      <c r="C1494" s="7">
        <v>2016</v>
      </c>
      <c r="D1494" s="8" t="s">
        <v>8742</v>
      </c>
      <c r="E1494" s="8" t="s">
        <v>8743</v>
      </c>
      <c r="F1494" s="8" t="s">
        <v>8744</v>
      </c>
      <c r="G1494" s="6" t="s">
        <v>81</v>
      </c>
      <c r="H1494" s="6" t="s">
        <v>39</v>
      </c>
      <c r="I1494" s="8" t="s">
        <v>8745</v>
      </c>
      <c r="J1494" s="9">
        <v>1</v>
      </c>
      <c r="K1494" s="9">
        <v>304</v>
      </c>
      <c r="L1494" s="9">
        <v>2026</v>
      </c>
      <c r="M1494" s="8" t="s">
        <v>8746</v>
      </c>
      <c r="N1494" s="8" t="s">
        <v>42</v>
      </c>
      <c r="O1494" s="8" t="s">
        <v>246</v>
      </c>
      <c r="P1494" s="6" t="s">
        <v>1057</v>
      </c>
      <c r="Q1494" s="8" t="s">
        <v>45</v>
      </c>
      <c r="R1494" s="10" t="s">
        <v>8747</v>
      </c>
      <c r="S1494" s="11"/>
      <c r="T1494" s="6" t="s">
        <v>1080</v>
      </c>
      <c r="U1494" s="24" t="str">
        <f>HYPERLINK("https://media.infra-m.ru/2225/2225090/cover/2225090.jpg", "Обложка")</f>
        <v>Обложка</v>
      </c>
      <c r="V1494" s="24" t="str">
        <f>HYPERLINK("https://znanium.ru/catalog/product/2225090", "Ознакомиться")</f>
        <v>Ознакомиться</v>
      </c>
      <c r="W1494" s="8" t="s">
        <v>191</v>
      </c>
      <c r="X1494" s="6"/>
      <c r="Y1494" s="6"/>
      <c r="Z1494" s="6"/>
      <c r="AA1494" s="6" t="s">
        <v>290</v>
      </c>
      <c r="AB1494" s="8"/>
    </row>
    <row r="1495" spans="1:28" s="4" customFormat="1" ht="42" customHeight="1">
      <c r="A1495" s="5">
        <v>0</v>
      </c>
      <c r="B1495" s="6" t="s">
        <v>8748</v>
      </c>
      <c r="C1495" s="7">
        <v>1360.8</v>
      </c>
      <c r="D1495" s="8" t="s">
        <v>8749</v>
      </c>
      <c r="E1495" s="8" t="s">
        <v>8750</v>
      </c>
      <c r="F1495" s="8" t="s">
        <v>8751</v>
      </c>
      <c r="G1495" s="6" t="s">
        <v>38</v>
      </c>
      <c r="H1495" s="6" t="s">
        <v>39</v>
      </c>
      <c r="I1495" s="8" t="s">
        <v>344</v>
      </c>
      <c r="J1495" s="9">
        <v>1</v>
      </c>
      <c r="K1495" s="9">
        <v>226</v>
      </c>
      <c r="L1495" s="9">
        <v>2025</v>
      </c>
      <c r="M1495" s="8" t="s">
        <v>8752</v>
      </c>
      <c r="N1495" s="8" t="s">
        <v>54</v>
      </c>
      <c r="O1495" s="8" t="s">
        <v>91</v>
      </c>
      <c r="P1495" s="6" t="s">
        <v>44</v>
      </c>
      <c r="Q1495" s="8" t="s">
        <v>45</v>
      </c>
      <c r="R1495" s="10" t="s">
        <v>3174</v>
      </c>
      <c r="S1495" s="11"/>
      <c r="T1495" s="6"/>
      <c r="U1495" s="24" t="str">
        <f>HYPERLINK("https://media.infra-m.ru/2167/2167892/cover/2167892.jpg", "Обложка")</f>
        <v>Обложка</v>
      </c>
      <c r="V1495" s="12"/>
      <c r="W1495" s="8" t="s">
        <v>8753</v>
      </c>
      <c r="X1495" s="6"/>
      <c r="Y1495" s="6"/>
      <c r="Z1495" s="6"/>
      <c r="AA1495" s="6" t="s">
        <v>68</v>
      </c>
      <c r="AB1495" s="8"/>
    </row>
    <row r="1496" spans="1:28" s="4" customFormat="1" ht="51.95" customHeight="1">
      <c r="A1496" s="5">
        <v>0</v>
      </c>
      <c r="B1496" s="6" t="s">
        <v>8754</v>
      </c>
      <c r="C1496" s="7">
        <v>1068</v>
      </c>
      <c r="D1496" s="8" t="s">
        <v>8755</v>
      </c>
      <c r="E1496" s="8" t="s">
        <v>8756</v>
      </c>
      <c r="F1496" s="8" t="s">
        <v>8757</v>
      </c>
      <c r="G1496" s="6" t="s">
        <v>38</v>
      </c>
      <c r="H1496" s="6" t="s">
        <v>39</v>
      </c>
      <c r="I1496" s="8" t="s">
        <v>40</v>
      </c>
      <c r="J1496" s="9">
        <v>1</v>
      </c>
      <c r="K1496" s="9">
        <v>159</v>
      </c>
      <c r="L1496" s="9">
        <v>2025</v>
      </c>
      <c r="M1496" s="8" t="s">
        <v>8758</v>
      </c>
      <c r="N1496" s="8" t="s">
        <v>42</v>
      </c>
      <c r="O1496" s="8" t="s">
        <v>189</v>
      </c>
      <c r="P1496" s="6" t="s">
        <v>44</v>
      </c>
      <c r="Q1496" s="8" t="s">
        <v>45</v>
      </c>
      <c r="R1496" s="10" t="s">
        <v>5535</v>
      </c>
      <c r="S1496" s="11"/>
      <c r="T1496" s="6"/>
      <c r="U1496" s="24" t="str">
        <f>HYPERLINK("https://media.infra-m.ru/2186/2186860/cover/2186860.jpg", "Обложка")</f>
        <v>Обложка</v>
      </c>
      <c r="V1496" s="24" t="str">
        <f>HYPERLINK("https://znanium.ru/catalog/product/929279", "Ознакомиться")</f>
        <v>Ознакомиться</v>
      </c>
      <c r="W1496" s="8" t="s">
        <v>4953</v>
      </c>
      <c r="X1496" s="6"/>
      <c r="Y1496" s="6"/>
      <c r="Z1496" s="6"/>
      <c r="AA1496" s="6" t="s">
        <v>369</v>
      </c>
      <c r="AB1496" s="8"/>
    </row>
    <row r="1497" spans="1:28" s="4" customFormat="1" ht="51.95" customHeight="1">
      <c r="A1497" s="5">
        <v>0</v>
      </c>
      <c r="B1497" s="6" t="s">
        <v>8759</v>
      </c>
      <c r="C1497" s="7">
        <v>1788</v>
      </c>
      <c r="D1497" s="8" t="s">
        <v>8760</v>
      </c>
      <c r="E1497" s="8" t="s">
        <v>8761</v>
      </c>
      <c r="F1497" s="8" t="s">
        <v>8762</v>
      </c>
      <c r="G1497" s="6" t="s">
        <v>132</v>
      </c>
      <c r="H1497" s="6" t="s">
        <v>39</v>
      </c>
      <c r="I1497" s="8" t="s">
        <v>40</v>
      </c>
      <c r="J1497" s="9">
        <v>1</v>
      </c>
      <c r="K1497" s="9">
        <v>287</v>
      </c>
      <c r="L1497" s="9">
        <v>2024</v>
      </c>
      <c r="M1497" s="8" t="s">
        <v>8763</v>
      </c>
      <c r="N1497" s="8" t="s">
        <v>42</v>
      </c>
      <c r="O1497" s="8" t="s">
        <v>189</v>
      </c>
      <c r="P1497" s="6" t="s">
        <v>44</v>
      </c>
      <c r="Q1497" s="8" t="s">
        <v>45</v>
      </c>
      <c r="R1497" s="10" t="s">
        <v>8764</v>
      </c>
      <c r="S1497" s="11"/>
      <c r="T1497" s="6"/>
      <c r="U1497" s="24" t="str">
        <f>HYPERLINK("https://media.infra-m.ru/2155/2155617/cover/2155617.jpg", "Обложка")</f>
        <v>Обложка</v>
      </c>
      <c r="V1497" s="24" t="str">
        <f>HYPERLINK("https://znanium.ru/catalog/product/2155617", "Ознакомиться")</f>
        <v>Ознакомиться</v>
      </c>
      <c r="W1497" s="8" t="s">
        <v>8765</v>
      </c>
      <c r="X1497" s="6"/>
      <c r="Y1497" s="6"/>
      <c r="Z1497" s="6"/>
      <c r="AA1497" s="6" t="s">
        <v>2773</v>
      </c>
      <c r="AB1497" s="8"/>
    </row>
    <row r="1498" spans="1:28" s="4" customFormat="1" ht="51.95" customHeight="1">
      <c r="A1498" s="5">
        <v>0</v>
      </c>
      <c r="B1498" s="6" t="s">
        <v>8766</v>
      </c>
      <c r="C1498" s="7">
        <v>1284</v>
      </c>
      <c r="D1498" s="8" t="s">
        <v>8767</v>
      </c>
      <c r="E1498" s="8" t="s">
        <v>8768</v>
      </c>
      <c r="F1498" s="8" t="s">
        <v>8762</v>
      </c>
      <c r="G1498" s="6" t="s">
        <v>81</v>
      </c>
      <c r="H1498" s="6" t="s">
        <v>39</v>
      </c>
      <c r="I1498" s="8" t="s">
        <v>40</v>
      </c>
      <c r="J1498" s="9">
        <v>1</v>
      </c>
      <c r="K1498" s="9">
        <v>226</v>
      </c>
      <c r="L1498" s="9">
        <v>2024</v>
      </c>
      <c r="M1498" s="8" t="s">
        <v>8769</v>
      </c>
      <c r="N1498" s="8" t="s">
        <v>42</v>
      </c>
      <c r="O1498" s="8" t="s">
        <v>189</v>
      </c>
      <c r="P1498" s="6" t="s">
        <v>44</v>
      </c>
      <c r="Q1498" s="8" t="s">
        <v>45</v>
      </c>
      <c r="R1498" s="10" t="s">
        <v>8764</v>
      </c>
      <c r="S1498" s="11"/>
      <c r="T1498" s="6"/>
      <c r="U1498" s="24" t="str">
        <f>HYPERLINK("https://media.infra-m.ru/2090/2090006/cover/2090006.jpg", "Обложка")</f>
        <v>Обложка</v>
      </c>
      <c r="V1498" s="24" t="str">
        <f>HYPERLINK("https://znanium.ru/catalog/product/2155617", "Ознакомиться")</f>
        <v>Ознакомиться</v>
      </c>
      <c r="W1498" s="8" t="s">
        <v>8765</v>
      </c>
      <c r="X1498" s="6"/>
      <c r="Y1498" s="6"/>
      <c r="Z1498" s="6"/>
      <c r="AA1498" s="6" t="s">
        <v>369</v>
      </c>
      <c r="AB1498" s="8"/>
    </row>
    <row r="1499" spans="1:28" s="4" customFormat="1" ht="51.95" customHeight="1">
      <c r="A1499" s="5">
        <v>0</v>
      </c>
      <c r="B1499" s="6" t="s">
        <v>8770</v>
      </c>
      <c r="C1499" s="7">
        <v>1428</v>
      </c>
      <c r="D1499" s="8" t="s">
        <v>8771</v>
      </c>
      <c r="E1499" s="8" t="s">
        <v>8772</v>
      </c>
      <c r="F1499" s="8" t="s">
        <v>8773</v>
      </c>
      <c r="G1499" s="6" t="s">
        <v>81</v>
      </c>
      <c r="H1499" s="6" t="s">
        <v>39</v>
      </c>
      <c r="I1499" s="8" t="s">
        <v>40</v>
      </c>
      <c r="J1499" s="9">
        <v>1</v>
      </c>
      <c r="K1499" s="9">
        <v>238</v>
      </c>
      <c r="L1499" s="9">
        <v>2025</v>
      </c>
      <c r="M1499" s="8" t="s">
        <v>8774</v>
      </c>
      <c r="N1499" s="8" t="s">
        <v>42</v>
      </c>
      <c r="O1499" s="8" t="s">
        <v>101</v>
      </c>
      <c r="P1499" s="6" t="s">
        <v>44</v>
      </c>
      <c r="Q1499" s="8" t="s">
        <v>45</v>
      </c>
      <c r="R1499" s="10" t="s">
        <v>1329</v>
      </c>
      <c r="S1499" s="11"/>
      <c r="T1499" s="6"/>
      <c r="U1499" s="24" t="str">
        <f>HYPERLINK("https://media.infra-m.ru/2187/2187244/cover/2187244.jpg", "Обложка")</f>
        <v>Обложка</v>
      </c>
      <c r="V1499" s="12"/>
      <c r="W1499" s="8" t="s">
        <v>418</v>
      </c>
      <c r="X1499" s="6"/>
      <c r="Y1499" s="6"/>
      <c r="Z1499" s="6"/>
      <c r="AA1499" s="6" t="s">
        <v>119</v>
      </c>
      <c r="AB1499" s="8"/>
    </row>
    <row r="1500" spans="1:28" s="4" customFormat="1" ht="44.1" customHeight="1">
      <c r="A1500" s="5">
        <v>0</v>
      </c>
      <c r="B1500" s="6" t="s">
        <v>8775</v>
      </c>
      <c r="C1500" s="13">
        <v>696</v>
      </c>
      <c r="D1500" s="8" t="s">
        <v>8776</v>
      </c>
      <c r="E1500" s="8" t="s">
        <v>8777</v>
      </c>
      <c r="F1500" s="8" t="s">
        <v>8778</v>
      </c>
      <c r="G1500" s="6" t="s">
        <v>132</v>
      </c>
      <c r="H1500" s="6" t="s">
        <v>39</v>
      </c>
      <c r="I1500" s="8" t="s">
        <v>164</v>
      </c>
      <c r="J1500" s="9">
        <v>1</v>
      </c>
      <c r="K1500" s="9">
        <v>147</v>
      </c>
      <c r="L1500" s="9">
        <v>2018</v>
      </c>
      <c r="M1500" s="8" t="s">
        <v>8779</v>
      </c>
      <c r="N1500" s="8" t="s">
        <v>42</v>
      </c>
      <c r="O1500" s="8" t="s">
        <v>189</v>
      </c>
      <c r="P1500" s="6" t="s">
        <v>44</v>
      </c>
      <c r="Q1500" s="8" t="s">
        <v>45</v>
      </c>
      <c r="R1500" s="10" t="s">
        <v>6708</v>
      </c>
      <c r="S1500" s="11"/>
      <c r="T1500" s="6" t="s">
        <v>1080</v>
      </c>
      <c r="U1500" s="24" t="str">
        <f>HYPERLINK("https://media.infra-m.ru/0902/0902302/cover/902302.jpg", "Обложка")</f>
        <v>Обложка</v>
      </c>
      <c r="V1500" s="24" t="str">
        <f>HYPERLINK("https://znanium.ru/catalog/product/902302", "Ознакомиться")</f>
        <v>Ознакомиться</v>
      </c>
      <c r="W1500" s="8" t="s">
        <v>167</v>
      </c>
      <c r="X1500" s="6"/>
      <c r="Y1500" s="6"/>
      <c r="Z1500" s="6"/>
      <c r="AA1500" s="6" t="s">
        <v>68</v>
      </c>
      <c r="AB1500" s="8"/>
    </row>
    <row r="1501" spans="1:28" s="4" customFormat="1" ht="42" customHeight="1">
      <c r="A1501" s="5">
        <v>0</v>
      </c>
      <c r="B1501" s="6" t="s">
        <v>8780</v>
      </c>
      <c r="C1501" s="7">
        <v>1380</v>
      </c>
      <c r="D1501" s="8" t="s">
        <v>8781</v>
      </c>
      <c r="E1501" s="8" t="s">
        <v>8782</v>
      </c>
      <c r="F1501" s="8" t="s">
        <v>1745</v>
      </c>
      <c r="G1501" s="6" t="s">
        <v>81</v>
      </c>
      <c r="H1501" s="6" t="s">
        <v>39</v>
      </c>
      <c r="I1501" s="8" t="s">
        <v>40</v>
      </c>
      <c r="J1501" s="9">
        <v>1</v>
      </c>
      <c r="K1501" s="9">
        <v>247</v>
      </c>
      <c r="L1501" s="9">
        <v>2023</v>
      </c>
      <c r="M1501" s="8" t="s">
        <v>8783</v>
      </c>
      <c r="N1501" s="8" t="s">
        <v>284</v>
      </c>
      <c r="O1501" s="8" t="s">
        <v>328</v>
      </c>
      <c r="P1501" s="6" t="s">
        <v>44</v>
      </c>
      <c r="Q1501" s="8" t="s">
        <v>45</v>
      </c>
      <c r="R1501" s="10" t="s">
        <v>8784</v>
      </c>
      <c r="S1501" s="11"/>
      <c r="T1501" s="6"/>
      <c r="U1501" s="24" t="str">
        <f>HYPERLINK("https://media.infra-m.ru/1905/1905222/cover/1905222.jpg", "Обложка")</f>
        <v>Обложка</v>
      </c>
      <c r="V1501" s="24" t="str">
        <f>HYPERLINK("https://znanium.ru/catalog/product/1905222", "Ознакомиться")</f>
        <v>Ознакомиться</v>
      </c>
      <c r="W1501" s="8" t="s">
        <v>1362</v>
      </c>
      <c r="X1501" s="6"/>
      <c r="Y1501" s="6"/>
      <c r="Z1501" s="6"/>
      <c r="AA1501" s="6" t="s">
        <v>369</v>
      </c>
      <c r="AB1501" s="8" t="s">
        <v>653</v>
      </c>
    </row>
    <row r="1502" spans="1:28" s="4" customFormat="1" ht="42" customHeight="1">
      <c r="A1502" s="5">
        <v>0</v>
      </c>
      <c r="B1502" s="6" t="s">
        <v>8785</v>
      </c>
      <c r="C1502" s="13">
        <v>648</v>
      </c>
      <c r="D1502" s="8" t="s">
        <v>8786</v>
      </c>
      <c r="E1502" s="8" t="s">
        <v>8787</v>
      </c>
      <c r="F1502" s="8" t="s">
        <v>72</v>
      </c>
      <c r="G1502" s="6" t="s">
        <v>38</v>
      </c>
      <c r="H1502" s="6" t="s">
        <v>39</v>
      </c>
      <c r="I1502" s="8" t="s">
        <v>40</v>
      </c>
      <c r="J1502" s="9">
        <v>1</v>
      </c>
      <c r="K1502" s="9">
        <v>121</v>
      </c>
      <c r="L1502" s="9">
        <v>2022</v>
      </c>
      <c r="M1502" s="8" t="s">
        <v>8788</v>
      </c>
      <c r="N1502" s="8" t="s">
        <v>54</v>
      </c>
      <c r="O1502" s="8" t="s">
        <v>55</v>
      </c>
      <c r="P1502" s="6" t="s">
        <v>44</v>
      </c>
      <c r="Q1502" s="8" t="s">
        <v>45</v>
      </c>
      <c r="R1502" s="10" t="s">
        <v>5355</v>
      </c>
      <c r="S1502" s="11"/>
      <c r="T1502" s="6"/>
      <c r="U1502" s="24" t="str">
        <f>HYPERLINK("https://media.infra-m.ru/1864/1864111/cover/1864111.jpg", "Обложка")</f>
        <v>Обложка</v>
      </c>
      <c r="V1502" s="24" t="str">
        <f>HYPERLINK("https://znanium.ru/catalog/product/1864111", "Ознакомиться")</f>
        <v>Ознакомиться</v>
      </c>
      <c r="W1502" s="8" t="s">
        <v>75</v>
      </c>
      <c r="X1502" s="6"/>
      <c r="Y1502" s="6"/>
      <c r="Z1502" s="6"/>
      <c r="AA1502" s="6" t="s">
        <v>168</v>
      </c>
      <c r="AB1502" s="8"/>
    </row>
    <row r="1503" spans="1:28" s="4" customFormat="1" ht="42" customHeight="1">
      <c r="A1503" s="5">
        <v>0</v>
      </c>
      <c r="B1503" s="6" t="s">
        <v>8789</v>
      </c>
      <c r="C1503" s="7">
        <v>1524</v>
      </c>
      <c r="D1503" s="8" t="s">
        <v>8790</v>
      </c>
      <c r="E1503" s="8" t="s">
        <v>8791</v>
      </c>
      <c r="F1503" s="8" t="s">
        <v>8792</v>
      </c>
      <c r="G1503" s="6" t="s">
        <v>38</v>
      </c>
      <c r="H1503" s="6" t="s">
        <v>39</v>
      </c>
      <c r="I1503" s="8" t="s">
        <v>344</v>
      </c>
      <c r="J1503" s="9">
        <v>1</v>
      </c>
      <c r="K1503" s="9">
        <v>270</v>
      </c>
      <c r="L1503" s="9">
        <v>2024</v>
      </c>
      <c r="M1503" s="8" t="s">
        <v>8793</v>
      </c>
      <c r="N1503" s="8" t="s">
        <v>54</v>
      </c>
      <c r="O1503" s="8" t="s">
        <v>55</v>
      </c>
      <c r="P1503" s="6" t="s">
        <v>44</v>
      </c>
      <c r="Q1503" s="8" t="s">
        <v>45</v>
      </c>
      <c r="R1503" s="10" t="s">
        <v>8794</v>
      </c>
      <c r="S1503" s="11"/>
      <c r="T1503" s="6"/>
      <c r="U1503" s="24" t="str">
        <f>HYPERLINK("https://media.infra-m.ru/2125/2125173/cover/2125173.jpg", "Обложка")</f>
        <v>Обложка</v>
      </c>
      <c r="V1503" s="12"/>
      <c r="W1503" s="8" t="s">
        <v>346</v>
      </c>
      <c r="X1503" s="6"/>
      <c r="Y1503" s="6"/>
      <c r="Z1503" s="6"/>
      <c r="AA1503" s="6" t="s">
        <v>58</v>
      </c>
      <c r="AB1503" s="8"/>
    </row>
    <row r="1504" spans="1:28" s="4" customFormat="1" ht="42" customHeight="1">
      <c r="A1504" s="5">
        <v>0</v>
      </c>
      <c r="B1504" s="6" t="s">
        <v>8795</v>
      </c>
      <c r="C1504" s="13">
        <v>556.79999999999995</v>
      </c>
      <c r="D1504" s="8" t="s">
        <v>8796</v>
      </c>
      <c r="E1504" s="8" t="s">
        <v>8797</v>
      </c>
      <c r="F1504" s="8" t="s">
        <v>8798</v>
      </c>
      <c r="G1504" s="6" t="s">
        <v>38</v>
      </c>
      <c r="H1504" s="6" t="s">
        <v>39</v>
      </c>
      <c r="I1504" s="8" t="s">
        <v>40</v>
      </c>
      <c r="J1504" s="9">
        <v>1</v>
      </c>
      <c r="K1504" s="9">
        <v>100</v>
      </c>
      <c r="L1504" s="9">
        <v>2024</v>
      </c>
      <c r="M1504" s="8" t="s">
        <v>8799</v>
      </c>
      <c r="N1504" s="8" t="s">
        <v>54</v>
      </c>
      <c r="O1504" s="8" t="s">
        <v>55</v>
      </c>
      <c r="P1504" s="6" t="s">
        <v>44</v>
      </c>
      <c r="Q1504" s="8" t="s">
        <v>45</v>
      </c>
      <c r="R1504" s="10" t="s">
        <v>8800</v>
      </c>
      <c r="S1504" s="11"/>
      <c r="T1504" s="6"/>
      <c r="U1504" s="24" t="str">
        <f>HYPERLINK("https://media.infra-m.ru/2082/2082160/cover/2082160.jpg", "Обложка")</f>
        <v>Обложка</v>
      </c>
      <c r="V1504" s="24" t="str">
        <f>HYPERLINK("https://znanium.ru/catalog/product/1168576", "Ознакомиться")</f>
        <v>Ознакомиться</v>
      </c>
      <c r="W1504" s="8" t="s">
        <v>491</v>
      </c>
      <c r="X1504" s="6"/>
      <c r="Y1504" s="6"/>
      <c r="Z1504" s="6"/>
      <c r="AA1504" s="6" t="s">
        <v>127</v>
      </c>
      <c r="AB1504" s="8"/>
    </row>
    <row r="1505" spans="1:28" s="4" customFormat="1" ht="51.95" customHeight="1">
      <c r="A1505" s="5">
        <v>0</v>
      </c>
      <c r="B1505" s="6" t="s">
        <v>8801</v>
      </c>
      <c r="C1505" s="13">
        <v>864</v>
      </c>
      <c r="D1505" s="8" t="s">
        <v>8802</v>
      </c>
      <c r="E1505" s="8" t="s">
        <v>8803</v>
      </c>
      <c r="F1505" s="8" t="s">
        <v>8804</v>
      </c>
      <c r="G1505" s="6" t="s">
        <v>38</v>
      </c>
      <c r="H1505" s="6" t="s">
        <v>99</v>
      </c>
      <c r="I1505" s="8"/>
      <c r="J1505" s="9">
        <v>1</v>
      </c>
      <c r="K1505" s="9">
        <v>144</v>
      </c>
      <c r="L1505" s="9">
        <v>2025</v>
      </c>
      <c r="M1505" s="8" t="s">
        <v>8805</v>
      </c>
      <c r="N1505" s="8" t="s">
        <v>42</v>
      </c>
      <c r="O1505" s="8" t="s">
        <v>101</v>
      </c>
      <c r="P1505" s="6" t="s">
        <v>44</v>
      </c>
      <c r="Q1505" s="8" t="s">
        <v>45</v>
      </c>
      <c r="R1505" s="10" t="s">
        <v>8806</v>
      </c>
      <c r="S1505" s="11"/>
      <c r="T1505" s="6"/>
      <c r="U1505" s="24" t="str">
        <f>HYPERLINK("https://media.infra-m.ru/2188/2188291/cover/2188291.jpg", "Обложка")</f>
        <v>Обложка</v>
      </c>
      <c r="V1505" s="24" t="str">
        <f>HYPERLINK("https://znanium.ru/catalog/product/2188291", "Ознакомиться")</f>
        <v>Ознакомиться</v>
      </c>
      <c r="W1505" s="8" t="s">
        <v>418</v>
      </c>
      <c r="X1505" s="6"/>
      <c r="Y1505" s="6"/>
      <c r="Z1505" s="6"/>
      <c r="AA1505" s="6" t="s">
        <v>339</v>
      </c>
      <c r="AB1505" s="8"/>
    </row>
    <row r="1506" spans="1:28" s="4" customFormat="1" ht="51.95" customHeight="1">
      <c r="A1506" s="5">
        <v>0</v>
      </c>
      <c r="B1506" s="6" t="s">
        <v>8807</v>
      </c>
      <c r="C1506" s="7">
        <v>1188</v>
      </c>
      <c r="D1506" s="8" t="s">
        <v>8808</v>
      </c>
      <c r="E1506" s="8" t="s">
        <v>8809</v>
      </c>
      <c r="F1506" s="8" t="s">
        <v>7739</v>
      </c>
      <c r="G1506" s="6" t="s">
        <v>132</v>
      </c>
      <c r="H1506" s="6" t="s">
        <v>99</v>
      </c>
      <c r="I1506" s="8"/>
      <c r="J1506" s="9">
        <v>1</v>
      </c>
      <c r="K1506" s="9">
        <v>176</v>
      </c>
      <c r="L1506" s="9">
        <v>2024</v>
      </c>
      <c r="M1506" s="8" t="s">
        <v>8810</v>
      </c>
      <c r="N1506" s="8" t="s">
        <v>42</v>
      </c>
      <c r="O1506" s="8" t="s">
        <v>101</v>
      </c>
      <c r="P1506" s="6" t="s">
        <v>580</v>
      </c>
      <c r="Q1506" s="8" t="s">
        <v>45</v>
      </c>
      <c r="R1506" s="10" t="s">
        <v>8811</v>
      </c>
      <c r="S1506" s="11"/>
      <c r="T1506" s="6"/>
      <c r="U1506" s="24" t="str">
        <f>HYPERLINK("https://media.infra-m.ru/2137/2137747/cover/2137747.jpg", "Обложка")</f>
        <v>Обложка</v>
      </c>
      <c r="V1506" s="24" t="str">
        <f>HYPERLINK("https://znanium.ru/catalog/product/2130217", "Ознакомиться")</f>
        <v>Ознакомиться</v>
      </c>
      <c r="W1506" s="8" t="s">
        <v>565</v>
      </c>
      <c r="X1506" s="6"/>
      <c r="Y1506" s="6"/>
      <c r="Z1506" s="6"/>
      <c r="AA1506" s="6" t="s">
        <v>58</v>
      </c>
      <c r="AB1506" s="8"/>
    </row>
    <row r="1507" spans="1:28" s="4" customFormat="1" ht="44.1" customHeight="1">
      <c r="A1507" s="5">
        <v>0</v>
      </c>
      <c r="B1507" s="6" t="s">
        <v>8812</v>
      </c>
      <c r="C1507" s="7">
        <v>1492.8</v>
      </c>
      <c r="D1507" s="8" t="s">
        <v>8813</v>
      </c>
      <c r="E1507" s="8" t="s">
        <v>8814</v>
      </c>
      <c r="F1507" s="8" t="s">
        <v>8815</v>
      </c>
      <c r="G1507" s="6" t="s">
        <v>38</v>
      </c>
      <c r="H1507" s="6" t="s">
        <v>99</v>
      </c>
      <c r="I1507" s="8"/>
      <c r="J1507" s="9">
        <v>1</v>
      </c>
      <c r="K1507" s="9">
        <v>240</v>
      </c>
      <c r="L1507" s="9">
        <v>2026</v>
      </c>
      <c r="M1507" s="8" t="s">
        <v>8816</v>
      </c>
      <c r="N1507" s="8" t="s">
        <v>42</v>
      </c>
      <c r="O1507" s="8" t="s">
        <v>101</v>
      </c>
      <c r="P1507" s="6" t="s">
        <v>44</v>
      </c>
      <c r="Q1507" s="8" t="s">
        <v>45</v>
      </c>
      <c r="R1507" s="10" t="s">
        <v>1587</v>
      </c>
      <c r="S1507" s="11"/>
      <c r="T1507" s="6"/>
      <c r="U1507" s="24" t="str">
        <f>HYPERLINK("https://media.infra-m.ru/2215/2215241/cover/2215241.jpg", "Обложка")</f>
        <v>Обложка</v>
      </c>
      <c r="V1507" s="24" t="str">
        <f>HYPERLINK("https://znanium.ru/catalog/product/1045651", "Ознакомиться")</f>
        <v>Ознакомиться</v>
      </c>
      <c r="W1507" s="8" t="s">
        <v>565</v>
      </c>
      <c r="X1507" s="6"/>
      <c r="Y1507" s="6"/>
      <c r="Z1507" s="6"/>
      <c r="AA1507" s="6" t="s">
        <v>241</v>
      </c>
      <c r="AB1507" s="8"/>
    </row>
    <row r="1508" spans="1:28" s="4" customFormat="1" ht="44.1" customHeight="1">
      <c r="A1508" s="5">
        <v>0</v>
      </c>
      <c r="B1508" s="6" t="s">
        <v>8817</v>
      </c>
      <c r="C1508" s="13">
        <v>928.8</v>
      </c>
      <c r="D1508" s="8" t="s">
        <v>8818</v>
      </c>
      <c r="E1508" s="8" t="s">
        <v>8819</v>
      </c>
      <c r="F1508" s="8" t="s">
        <v>7739</v>
      </c>
      <c r="G1508" s="6" t="s">
        <v>81</v>
      </c>
      <c r="H1508" s="6" t="s">
        <v>99</v>
      </c>
      <c r="I1508" s="8"/>
      <c r="J1508" s="9">
        <v>1</v>
      </c>
      <c r="K1508" s="9">
        <v>148</v>
      </c>
      <c r="L1508" s="9">
        <v>2025</v>
      </c>
      <c r="M1508" s="8" t="s">
        <v>8820</v>
      </c>
      <c r="N1508" s="8" t="s">
        <v>42</v>
      </c>
      <c r="O1508" s="8" t="s">
        <v>101</v>
      </c>
      <c r="P1508" s="6" t="s">
        <v>44</v>
      </c>
      <c r="Q1508" s="8" t="s">
        <v>45</v>
      </c>
      <c r="R1508" s="10" t="s">
        <v>8821</v>
      </c>
      <c r="S1508" s="11"/>
      <c r="T1508" s="6"/>
      <c r="U1508" s="24" t="str">
        <f>HYPERLINK("https://media.infra-m.ru/2192/2192589/cover/2192589.jpg", "Обложка")</f>
        <v>Обложка</v>
      </c>
      <c r="V1508" s="24" t="str">
        <f>HYPERLINK("https://znanium.ru/catalog/product/1979150", "Ознакомиться")</f>
        <v>Ознакомиться</v>
      </c>
      <c r="W1508" s="8" t="s">
        <v>565</v>
      </c>
      <c r="X1508" s="6"/>
      <c r="Y1508" s="6"/>
      <c r="Z1508" s="6"/>
      <c r="AA1508" s="6" t="s">
        <v>68</v>
      </c>
      <c r="AB1508" s="8"/>
    </row>
    <row r="1509" spans="1:28" s="4" customFormat="1" ht="51.95" customHeight="1">
      <c r="A1509" s="5">
        <v>0</v>
      </c>
      <c r="B1509" s="6" t="s">
        <v>8822</v>
      </c>
      <c r="C1509" s="7">
        <v>3300</v>
      </c>
      <c r="D1509" s="8" t="s">
        <v>8823</v>
      </c>
      <c r="E1509" s="8" t="s">
        <v>8824</v>
      </c>
      <c r="F1509" s="8" t="s">
        <v>8825</v>
      </c>
      <c r="G1509" s="6" t="s">
        <v>132</v>
      </c>
      <c r="H1509" s="6" t="s">
        <v>99</v>
      </c>
      <c r="I1509" s="8"/>
      <c r="J1509" s="9">
        <v>1</v>
      </c>
      <c r="K1509" s="9">
        <v>420</v>
      </c>
      <c r="L1509" s="9">
        <v>2025</v>
      </c>
      <c r="M1509" s="8" t="s">
        <v>8826</v>
      </c>
      <c r="N1509" s="8" t="s">
        <v>42</v>
      </c>
      <c r="O1509" s="8" t="s">
        <v>101</v>
      </c>
      <c r="P1509" s="6" t="s">
        <v>44</v>
      </c>
      <c r="Q1509" s="8" t="s">
        <v>1058</v>
      </c>
      <c r="R1509" s="10" t="s">
        <v>2280</v>
      </c>
      <c r="S1509" s="11"/>
      <c r="T1509" s="6"/>
      <c r="U1509" s="24" t="str">
        <f>HYPERLINK("https://media.infra-m.ru/2188/2188407/cover/2188407.jpg", "Обложка")</f>
        <v>Обложка</v>
      </c>
      <c r="V1509" s="24" t="str">
        <f>HYPERLINK("https://znanium.ru/catalog/product/2188407", "Ознакомиться")</f>
        <v>Ознакомиться</v>
      </c>
      <c r="W1509" s="8" t="s">
        <v>1627</v>
      </c>
      <c r="X1509" s="6" t="s">
        <v>320</v>
      </c>
      <c r="Y1509" s="6"/>
      <c r="Z1509" s="6"/>
      <c r="AA1509" s="6" t="s">
        <v>159</v>
      </c>
      <c r="AB1509" s="8"/>
    </row>
    <row r="1510" spans="1:28" s="4" customFormat="1" ht="44.1" customHeight="1">
      <c r="A1510" s="5">
        <v>0</v>
      </c>
      <c r="B1510" s="6" t="s">
        <v>8827</v>
      </c>
      <c r="C1510" s="7">
        <v>2100</v>
      </c>
      <c r="D1510" s="8" t="s">
        <v>8828</v>
      </c>
      <c r="E1510" s="8" t="s">
        <v>8829</v>
      </c>
      <c r="F1510" s="8" t="s">
        <v>8830</v>
      </c>
      <c r="G1510" s="6" t="s">
        <v>81</v>
      </c>
      <c r="H1510" s="6" t="s">
        <v>99</v>
      </c>
      <c r="I1510" s="8"/>
      <c r="J1510" s="9">
        <v>1</v>
      </c>
      <c r="K1510" s="9">
        <v>448</v>
      </c>
      <c r="L1510" s="9">
        <v>2022</v>
      </c>
      <c r="M1510" s="8" t="s">
        <v>8831</v>
      </c>
      <c r="N1510" s="8" t="s">
        <v>42</v>
      </c>
      <c r="O1510" s="8" t="s">
        <v>101</v>
      </c>
      <c r="P1510" s="6" t="s">
        <v>44</v>
      </c>
      <c r="Q1510" s="8" t="s">
        <v>45</v>
      </c>
      <c r="R1510" s="10" t="s">
        <v>692</v>
      </c>
      <c r="S1510" s="11"/>
      <c r="T1510" s="6"/>
      <c r="U1510" s="24" t="str">
        <f>HYPERLINK("https://media.infra-m.ru/1864/1864968/cover/1864968.jpg", "Обложка")</f>
        <v>Обложка</v>
      </c>
      <c r="V1510" s="24" t="str">
        <f>HYPERLINK("https://znanium.ru/catalog/product/1864968", "Ознакомиться")</f>
        <v>Ознакомиться</v>
      </c>
      <c r="W1510" s="8" t="s">
        <v>565</v>
      </c>
      <c r="X1510" s="6"/>
      <c r="Y1510" s="6"/>
      <c r="Z1510" s="6"/>
      <c r="AA1510" s="6" t="s">
        <v>199</v>
      </c>
      <c r="AB1510" s="8"/>
    </row>
    <row r="1511" spans="1:28" s="4" customFormat="1" ht="51.95" customHeight="1">
      <c r="A1511" s="5">
        <v>0</v>
      </c>
      <c r="B1511" s="6" t="s">
        <v>8832</v>
      </c>
      <c r="C1511" s="7">
        <v>1000.8</v>
      </c>
      <c r="D1511" s="8" t="s">
        <v>8833</v>
      </c>
      <c r="E1511" s="8" t="s">
        <v>8834</v>
      </c>
      <c r="F1511" s="8" t="s">
        <v>8835</v>
      </c>
      <c r="G1511" s="6" t="s">
        <v>38</v>
      </c>
      <c r="H1511" s="6" t="s">
        <v>39</v>
      </c>
      <c r="I1511" s="8" t="s">
        <v>40</v>
      </c>
      <c r="J1511" s="9">
        <v>1</v>
      </c>
      <c r="K1511" s="9">
        <v>159</v>
      </c>
      <c r="L1511" s="9">
        <v>2025</v>
      </c>
      <c r="M1511" s="8" t="s">
        <v>8836</v>
      </c>
      <c r="N1511" s="8" t="s">
        <v>42</v>
      </c>
      <c r="O1511" s="8" t="s">
        <v>43</v>
      </c>
      <c r="P1511" s="6" t="s">
        <v>44</v>
      </c>
      <c r="Q1511" s="8" t="s">
        <v>45</v>
      </c>
      <c r="R1511" s="10" t="s">
        <v>8837</v>
      </c>
      <c r="S1511" s="11"/>
      <c r="T1511" s="6"/>
      <c r="U1511" s="24" t="str">
        <f>HYPERLINK("https://media.infra-m.ru/2169/2169316/cover/2169316.jpg", "Обложка")</f>
        <v>Обложка</v>
      </c>
      <c r="V1511" s="24" t="str">
        <f>HYPERLINK("https://znanium.ru/catalog/product/1210062", "Ознакомиться")</f>
        <v>Ознакомиться</v>
      </c>
      <c r="W1511" s="8" t="s">
        <v>8838</v>
      </c>
      <c r="X1511" s="6"/>
      <c r="Y1511" s="6"/>
      <c r="Z1511" s="6"/>
      <c r="AA1511" s="6" t="s">
        <v>199</v>
      </c>
      <c r="AB1511" s="8"/>
    </row>
    <row r="1512" spans="1:28" s="4" customFormat="1" ht="42" customHeight="1">
      <c r="A1512" s="5">
        <v>0</v>
      </c>
      <c r="B1512" s="6" t="s">
        <v>8839</v>
      </c>
      <c r="C1512" s="13">
        <v>360</v>
      </c>
      <c r="D1512" s="8" t="s">
        <v>8840</v>
      </c>
      <c r="E1512" s="8" t="s">
        <v>8841</v>
      </c>
      <c r="F1512" s="8" t="s">
        <v>1891</v>
      </c>
      <c r="G1512" s="6" t="s">
        <v>1892</v>
      </c>
      <c r="H1512" s="6" t="s">
        <v>39</v>
      </c>
      <c r="I1512" s="8" t="s">
        <v>1893</v>
      </c>
      <c r="J1512" s="9">
        <v>1</v>
      </c>
      <c r="K1512" s="9">
        <v>49</v>
      </c>
      <c r="L1512" s="9">
        <v>2023</v>
      </c>
      <c r="M1512" s="8" t="s">
        <v>8842</v>
      </c>
      <c r="N1512" s="8" t="s">
        <v>284</v>
      </c>
      <c r="O1512" s="8" t="s">
        <v>2265</v>
      </c>
      <c r="P1512" s="6" t="s">
        <v>6778</v>
      </c>
      <c r="Q1512" s="8" t="s">
        <v>45</v>
      </c>
      <c r="R1512" s="10" t="s">
        <v>8843</v>
      </c>
      <c r="S1512" s="11"/>
      <c r="T1512" s="6"/>
      <c r="U1512" s="24" t="str">
        <f>HYPERLINK("https://media.infra-m.ru/2070/2070075/cover/2070075.jpg", "Обложка")</f>
        <v>Обложка</v>
      </c>
      <c r="V1512" s="24" t="str">
        <f>HYPERLINK("https://znanium.ru/catalog/product/2070075", "Ознакомиться")</f>
        <v>Ознакомиться</v>
      </c>
      <c r="W1512" s="8"/>
      <c r="X1512" s="6"/>
      <c r="Y1512" s="6"/>
      <c r="Z1512" s="6"/>
      <c r="AA1512" s="6" t="s">
        <v>424</v>
      </c>
      <c r="AB1512" s="8"/>
    </row>
    <row r="1513" spans="1:28" s="4" customFormat="1" ht="42" customHeight="1">
      <c r="A1513" s="5">
        <v>0</v>
      </c>
      <c r="B1513" s="6" t="s">
        <v>8844</v>
      </c>
      <c r="C1513" s="13">
        <v>252</v>
      </c>
      <c r="D1513" s="8" t="s">
        <v>8845</v>
      </c>
      <c r="E1513" s="8" t="s">
        <v>8846</v>
      </c>
      <c r="F1513" s="8" t="s">
        <v>1891</v>
      </c>
      <c r="G1513" s="6" t="s">
        <v>1892</v>
      </c>
      <c r="H1513" s="6" t="s">
        <v>39</v>
      </c>
      <c r="I1513" s="8" t="s">
        <v>1893</v>
      </c>
      <c r="J1513" s="9">
        <v>1</v>
      </c>
      <c r="K1513" s="9">
        <v>44</v>
      </c>
      <c r="L1513" s="9">
        <v>2019</v>
      </c>
      <c r="M1513" s="8" t="s">
        <v>8842</v>
      </c>
      <c r="N1513" s="8" t="s">
        <v>284</v>
      </c>
      <c r="O1513" s="8" t="s">
        <v>2265</v>
      </c>
      <c r="P1513" s="6" t="s">
        <v>6778</v>
      </c>
      <c r="Q1513" s="8" t="s">
        <v>45</v>
      </c>
      <c r="R1513" s="10" t="s">
        <v>8843</v>
      </c>
      <c r="S1513" s="11"/>
      <c r="T1513" s="6"/>
      <c r="U1513" s="24" t="str">
        <f>HYPERLINK("https://media.infra-m.ru/1008/1008536/cover/1008536.jpg", "Обложка")</f>
        <v>Обложка</v>
      </c>
      <c r="V1513" s="24" t="str">
        <f>HYPERLINK("https://znanium.ru/catalog/product/2070075", "Ознакомиться")</f>
        <v>Ознакомиться</v>
      </c>
      <c r="W1513" s="8"/>
      <c r="X1513" s="6"/>
      <c r="Y1513" s="6"/>
      <c r="Z1513" s="6"/>
      <c r="AA1513" s="6" t="s">
        <v>369</v>
      </c>
      <c r="AB1513" s="8"/>
    </row>
    <row r="1514" spans="1:28" s="4" customFormat="1" ht="51.95" customHeight="1">
      <c r="A1514" s="5">
        <v>0</v>
      </c>
      <c r="B1514" s="6" t="s">
        <v>8847</v>
      </c>
      <c r="C1514" s="7">
        <v>1668</v>
      </c>
      <c r="D1514" s="8" t="s">
        <v>8848</v>
      </c>
      <c r="E1514" s="8" t="s">
        <v>8849</v>
      </c>
      <c r="F1514" s="8" t="s">
        <v>1891</v>
      </c>
      <c r="G1514" s="6" t="s">
        <v>81</v>
      </c>
      <c r="H1514" s="6" t="s">
        <v>39</v>
      </c>
      <c r="I1514" s="8" t="s">
        <v>1893</v>
      </c>
      <c r="J1514" s="9">
        <v>1</v>
      </c>
      <c r="K1514" s="9">
        <v>296</v>
      </c>
      <c r="L1514" s="9">
        <v>2024</v>
      </c>
      <c r="M1514" s="8" t="s">
        <v>8850</v>
      </c>
      <c r="N1514" s="8" t="s">
        <v>42</v>
      </c>
      <c r="O1514" s="8" t="s">
        <v>101</v>
      </c>
      <c r="P1514" s="6" t="s">
        <v>6778</v>
      </c>
      <c r="Q1514" s="8" t="s">
        <v>45</v>
      </c>
      <c r="R1514" s="10" t="s">
        <v>8851</v>
      </c>
      <c r="S1514" s="11"/>
      <c r="T1514" s="6"/>
      <c r="U1514" s="24" t="str">
        <f>HYPERLINK("https://media.infra-m.ru/2137/2137614/cover/2137614.jpg", "Обложка")</f>
        <v>Обложка</v>
      </c>
      <c r="V1514" s="24" t="str">
        <f>HYPERLINK("https://znanium.ru/catalog/product/2137614", "Ознакомиться")</f>
        <v>Ознакомиться</v>
      </c>
      <c r="W1514" s="8"/>
      <c r="X1514" s="6"/>
      <c r="Y1514" s="6"/>
      <c r="Z1514" s="6"/>
      <c r="AA1514" s="6" t="s">
        <v>2773</v>
      </c>
      <c r="AB1514" s="8"/>
    </row>
    <row r="1515" spans="1:28" s="4" customFormat="1" ht="51.95" customHeight="1">
      <c r="A1515" s="5">
        <v>0</v>
      </c>
      <c r="B1515" s="6" t="s">
        <v>8852</v>
      </c>
      <c r="C1515" s="7">
        <v>1560</v>
      </c>
      <c r="D1515" s="8" t="s">
        <v>8853</v>
      </c>
      <c r="E1515" s="8" t="s">
        <v>8854</v>
      </c>
      <c r="F1515" s="8" t="s">
        <v>1891</v>
      </c>
      <c r="G1515" s="6" t="s">
        <v>81</v>
      </c>
      <c r="H1515" s="6" t="s">
        <v>39</v>
      </c>
      <c r="I1515" s="8" t="s">
        <v>1893</v>
      </c>
      <c r="J1515" s="9">
        <v>1</v>
      </c>
      <c r="K1515" s="9">
        <v>289</v>
      </c>
      <c r="L1515" s="9">
        <v>2023</v>
      </c>
      <c r="M1515" s="8" t="s">
        <v>8855</v>
      </c>
      <c r="N1515" s="8" t="s">
        <v>42</v>
      </c>
      <c r="O1515" s="8" t="s">
        <v>101</v>
      </c>
      <c r="P1515" s="6" t="s">
        <v>6778</v>
      </c>
      <c r="Q1515" s="8" t="s">
        <v>45</v>
      </c>
      <c r="R1515" s="10" t="s">
        <v>8851</v>
      </c>
      <c r="S1515" s="11"/>
      <c r="T1515" s="6"/>
      <c r="U1515" s="24" t="str">
        <f>HYPERLINK("https://media.infra-m.ru/2050/2050500/cover/2050500.jpg", "Обложка")</f>
        <v>Обложка</v>
      </c>
      <c r="V1515" s="24" t="str">
        <f>HYPERLINK("https://znanium.ru/catalog/product/2137614", "Ознакомиться")</f>
        <v>Ознакомиться</v>
      </c>
      <c r="W1515" s="8"/>
      <c r="X1515" s="6"/>
      <c r="Y1515" s="6"/>
      <c r="Z1515" s="6"/>
      <c r="AA1515" s="6" t="s">
        <v>119</v>
      </c>
      <c r="AB1515" s="8"/>
    </row>
    <row r="1516" spans="1:28" s="4" customFormat="1" ht="44.1" customHeight="1">
      <c r="A1516" s="5">
        <v>0</v>
      </c>
      <c r="B1516" s="6" t="s">
        <v>8856</v>
      </c>
      <c r="C1516" s="13">
        <v>684</v>
      </c>
      <c r="D1516" s="8" t="s">
        <v>8857</v>
      </c>
      <c r="E1516" s="8" t="s">
        <v>8858</v>
      </c>
      <c r="F1516" s="8"/>
      <c r="G1516" s="6" t="s">
        <v>38</v>
      </c>
      <c r="H1516" s="6" t="s">
        <v>39</v>
      </c>
      <c r="I1516" s="8" t="s">
        <v>1893</v>
      </c>
      <c r="J1516" s="9">
        <v>1</v>
      </c>
      <c r="K1516" s="9">
        <v>144</v>
      </c>
      <c r="L1516" s="9">
        <v>2022</v>
      </c>
      <c r="M1516" s="8" t="s">
        <v>8859</v>
      </c>
      <c r="N1516" s="8" t="s">
        <v>284</v>
      </c>
      <c r="O1516" s="8" t="s">
        <v>285</v>
      </c>
      <c r="P1516" s="6" t="s">
        <v>6778</v>
      </c>
      <c r="Q1516" s="8" t="s">
        <v>45</v>
      </c>
      <c r="R1516" s="10" t="s">
        <v>8860</v>
      </c>
      <c r="S1516" s="11"/>
      <c r="T1516" s="6"/>
      <c r="U1516" s="24" t="str">
        <f>HYPERLINK("https://media.infra-m.ru/1860/1860810/cover/1860810.jpg", "Обложка")</f>
        <v>Обложка</v>
      </c>
      <c r="V1516" s="24" t="str">
        <f>HYPERLINK("https://znanium.ru/catalog/product/2196386", "Ознакомиться")</f>
        <v>Ознакомиться</v>
      </c>
      <c r="W1516" s="8"/>
      <c r="X1516" s="6"/>
      <c r="Y1516" s="6" t="s">
        <v>30</v>
      </c>
      <c r="Z1516" s="6"/>
      <c r="AA1516" s="6" t="s">
        <v>4639</v>
      </c>
      <c r="AB1516" s="8"/>
    </row>
    <row r="1517" spans="1:28" s="4" customFormat="1" ht="44.1" customHeight="1">
      <c r="A1517" s="5">
        <v>0</v>
      </c>
      <c r="B1517" s="6" t="s">
        <v>8861</v>
      </c>
      <c r="C1517" s="13">
        <v>928.8</v>
      </c>
      <c r="D1517" s="8" t="s">
        <v>8862</v>
      </c>
      <c r="E1517" s="8" t="s">
        <v>8863</v>
      </c>
      <c r="F1517" s="8" t="s">
        <v>1891</v>
      </c>
      <c r="G1517" s="6" t="s">
        <v>38</v>
      </c>
      <c r="H1517" s="6" t="s">
        <v>39</v>
      </c>
      <c r="I1517" s="8" t="s">
        <v>1893</v>
      </c>
      <c r="J1517" s="9">
        <v>1</v>
      </c>
      <c r="K1517" s="9">
        <v>149</v>
      </c>
      <c r="L1517" s="9">
        <v>2025</v>
      </c>
      <c r="M1517" s="8" t="s">
        <v>8864</v>
      </c>
      <c r="N1517" s="8" t="s">
        <v>284</v>
      </c>
      <c r="O1517" s="8" t="s">
        <v>285</v>
      </c>
      <c r="P1517" s="6" t="s">
        <v>6778</v>
      </c>
      <c r="Q1517" s="8" t="s">
        <v>45</v>
      </c>
      <c r="R1517" s="10" t="s">
        <v>8860</v>
      </c>
      <c r="S1517" s="11"/>
      <c r="T1517" s="6"/>
      <c r="U1517" s="24" t="str">
        <f>HYPERLINK("https://media.infra-m.ru/2197/2197056/cover/2197056.jpg", "Обложка")</f>
        <v>Обложка</v>
      </c>
      <c r="V1517" s="24" t="str">
        <f>HYPERLINK("https://znanium.ru/catalog/product/2196386", "Ознакомиться")</f>
        <v>Ознакомиться</v>
      </c>
      <c r="W1517" s="8"/>
      <c r="X1517" s="6"/>
      <c r="Y1517" s="6" t="s">
        <v>30</v>
      </c>
      <c r="Z1517" s="6"/>
      <c r="AA1517" s="6" t="s">
        <v>8865</v>
      </c>
      <c r="AB1517" s="8"/>
    </row>
    <row r="1518" spans="1:28" s="4" customFormat="1" ht="42" customHeight="1">
      <c r="A1518" s="5">
        <v>0</v>
      </c>
      <c r="B1518" s="6" t="s">
        <v>8866</v>
      </c>
      <c r="C1518" s="13">
        <v>479.9</v>
      </c>
      <c r="D1518" s="8" t="s">
        <v>8867</v>
      </c>
      <c r="E1518" s="8" t="s">
        <v>8868</v>
      </c>
      <c r="F1518" s="8" t="s">
        <v>1891</v>
      </c>
      <c r="G1518" s="6" t="s">
        <v>38</v>
      </c>
      <c r="H1518" s="6" t="s">
        <v>39</v>
      </c>
      <c r="I1518" s="8" t="s">
        <v>1893</v>
      </c>
      <c r="J1518" s="9">
        <v>1</v>
      </c>
      <c r="K1518" s="9">
        <v>104</v>
      </c>
      <c r="L1518" s="9">
        <v>2021</v>
      </c>
      <c r="M1518" s="8" t="s">
        <v>8869</v>
      </c>
      <c r="N1518" s="8" t="s">
        <v>42</v>
      </c>
      <c r="O1518" s="8" t="s">
        <v>1315</v>
      </c>
      <c r="P1518" s="6" t="s">
        <v>6778</v>
      </c>
      <c r="Q1518" s="8" t="s">
        <v>45</v>
      </c>
      <c r="R1518" s="10" t="s">
        <v>8870</v>
      </c>
      <c r="S1518" s="11"/>
      <c r="T1518" s="6"/>
      <c r="U1518" s="24" t="str">
        <f>HYPERLINK("https://media.infra-m.ru/1241/1241980/cover/1241980.jpg", "Обложка")</f>
        <v>Обложка</v>
      </c>
      <c r="V1518" s="24" t="str">
        <f>HYPERLINK("https://znanium.ru/catalog/product/1241980", "Ознакомиться")</f>
        <v>Ознакомиться</v>
      </c>
      <c r="W1518" s="8"/>
      <c r="X1518" s="6"/>
      <c r="Y1518" s="6"/>
      <c r="Z1518" s="6"/>
      <c r="AA1518" s="6" t="s">
        <v>339</v>
      </c>
      <c r="AB1518" s="8"/>
    </row>
    <row r="1519" spans="1:28" s="4" customFormat="1" ht="44.1" customHeight="1">
      <c r="A1519" s="5">
        <v>0</v>
      </c>
      <c r="B1519" s="6" t="s">
        <v>8871</v>
      </c>
      <c r="C1519" s="13">
        <v>192</v>
      </c>
      <c r="D1519" s="8" t="s">
        <v>8872</v>
      </c>
      <c r="E1519" s="8" t="s">
        <v>8873</v>
      </c>
      <c r="F1519" s="8" t="s">
        <v>1891</v>
      </c>
      <c r="G1519" s="6" t="s">
        <v>1892</v>
      </c>
      <c r="H1519" s="6" t="s">
        <v>39</v>
      </c>
      <c r="I1519" s="8" t="s">
        <v>1893</v>
      </c>
      <c r="J1519" s="9">
        <v>1</v>
      </c>
      <c r="K1519" s="9">
        <v>40</v>
      </c>
      <c r="L1519" s="9">
        <v>2022</v>
      </c>
      <c r="M1519" s="8" t="s">
        <v>8874</v>
      </c>
      <c r="N1519" s="8" t="s">
        <v>42</v>
      </c>
      <c r="O1519" s="8" t="s">
        <v>1315</v>
      </c>
      <c r="P1519" s="6" t="s">
        <v>6778</v>
      </c>
      <c r="Q1519" s="8" t="s">
        <v>45</v>
      </c>
      <c r="R1519" s="10" t="s">
        <v>8875</v>
      </c>
      <c r="S1519" s="11"/>
      <c r="T1519" s="6"/>
      <c r="U1519" s="24" t="str">
        <f>HYPERLINK("https://media.infra-m.ru/1864/1864112/cover/1864112.jpg", "Обложка")</f>
        <v>Обложка</v>
      </c>
      <c r="V1519" s="24" t="str">
        <f>HYPERLINK("https://znanium.ru/catalog/product/1864112", "Ознакомиться")</f>
        <v>Ознакомиться</v>
      </c>
      <c r="W1519" s="8"/>
      <c r="X1519" s="6"/>
      <c r="Y1519" s="6"/>
      <c r="Z1519" s="6"/>
      <c r="AA1519" s="6" t="s">
        <v>199</v>
      </c>
      <c r="AB1519" s="8"/>
    </row>
    <row r="1520" spans="1:28" s="4" customFormat="1" ht="51.95" customHeight="1">
      <c r="A1520" s="5">
        <v>0</v>
      </c>
      <c r="B1520" s="6" t="s">
        <v>8876</v>
      </c>
      <c r="C1520" s="13">
        <v>396</v>
      </c>
      <c r="D1520" s="8" t="s">
        <v>8877</v>
      </c>
      <c r="E1520" s="8" t="s">
        <v>8878</v>
      </c>
      <c r="F1520" s="8" t="s">
        <v>1891</v>
      </c>
      <c r="G1520" s="6" t="s">
        <v>38</v>
      </c>
      <c r="H1520" s="6" t="s">
        <v>39</v>
      </c>
      <c r="I1520" s="8" t="s">
        <v>1893</v>
      </c>
      <c r="J1520" s="9">
        <v>1</v>
      </c>
      <c r="K1520" s="9">
        <v>48</v>
      </c>
      <c r="L1520" s="9">
        <v>2022</v>
      </c>
      <c r="M1520" s="8" t="s">
        <v>8879</v>
      </c>
      <c r="N1520" s="8" t="s">
        <v>284</v>
      </c>
      <c r="O1520" s="8" t="s">
        <v>328</v>
      </c>
      <c r="P1520" s="6" t="s">
        <v>6778</v>
      </c>
      <c r="Q1520" s="8" t="s">
        <v>45</v>
      </c>
      <c r="R1520" s="10" t="s">
        <v>8880</v>
      </c>
      <c r="S1520" s="11"/>
      <c r="T1520" s="6"/>
      <c r="U1520" s="24" t="str">
        <f>HYPERLINK("https://media.infra-m.ru/1173/1173599/cover/1173599.jpg", "Обложка")</f>
        <v>Обложка</v>
      </c>
      <c r="V1520" s="24" t="str">
        <f>HYPERLINK("https://znanium.ru/catalog/product/1173599", "Ознакомиться")</f>
        <v>Ознакомиться</v>
      </c>
      <c r="W1520" s="8"/>
      <c r="X1520" s="6"/>
      <c r="Y1520" s="6"/>
      <c r="Z1520" s="6"/>
      <c r="AA1520" s="6" t="s">
        <v>111</v>
      </c>
      <c r="AB1520" s="8"/>
    </row>
    <row r="1521" spans="1:28" s="4" customFormat="1" ht="51.95" customHeight="1">
      <c r="A1521" s="5">
        <v>0</v>
      </c>
      <c r="B1521" s="6" t="s">
        <v>8881</v>
      </c>
      <c r="C1521" s="7">
        <v>2040</v>
      </c>
      <c r="D1521" s="8" t="s">
        <v>8882</v>
      </c>
      <c r="E1521" s="8" t="s">
        <v>8883</v>
      </c>
      <c r="F1521" s="8"/>
      <c r="G1521" s="6" t="s">
        <v>38</v>
      </c>
      <c r="H1521" s="6" t="s">
        <v>39</v>
      </c>
      <c r="I1521" s="8" t="s">
        <v>1893</v>
      </c>
      <c r="J1521" s="9">
        <v>1</v>
      </c>
      <c r="K1521" s="9">
        <v>327</v>
      </c>
      <c r="L1521" s="9">
        <v>2025</v>
      </c>
      <c r="M1521" s="8" t="s">
        <v>8884</v>
      </c>
      <c r="N1521" s="8" t="s">
        <v>284</v>
      </c>
      <c r="O1521" s="8" t="s">
        <v>328</v>
      </c>
      <c r="P1521" s="6" t="s">
        <v>6778</v>
      </c>
      <c r="Q1521" s="8" t="s">
        <v>45</v>
      </c>
      <c r="R1521" s="10" t="s">
        <v>8885</v>
      </c>
      <c r="S1521" s="11"/>
      <c r="T1521" s="6"/>
      <c r="U1521" s="24" t="str">
        <f>HYPERLINK("https://media.infra-m.ru/2196/2196756/cover/2196756.jpg", "Обложка")</f>
        <v>Обложка</v>
      </c>
      <c r="V1521" s="24" t="str">
        <f>HYPERLINK("https://znanium.ru/catalog/product/2196756", "Ознакомиться")</f>
        <v>Ознакомиться</v>
      </c>
      <c r="W1521" s="8"/>
      <c r="X1521" s="6"/>
      <c r="Y1521" s="6"/>
      <c r="Z1521" s="6"/>
      <c r="AA1521" s="6" t="s">
        <v>111</v>
      </c>
      <c r="AB1521" s="8"/>
    </row>
    <row r="1522" spans="1:28" s="4" customFormat="1" ht="42" customHeight="1">
      <c r="A1522" s="5">
        <v>0</v>
      </c>
      <c r="B1522" s="6" t="s">
        <v>8886</v>
      </c>
      <c r="C1522" s="7">
        <v>3706.8</v>
      </c>
      <c r="D1522" s="8" t="s">
        <v>8887</v>
      </c>
      <c r="E1522" s="8" t="s">
        <v>8888</v>
      </c>
      <c r="F1522" s="8" t="s">
        <v>1891</v>
      </c>
      <c r="G1522" s="6" t="s">
        <v>81</v>
      </c>
      <c r="H1522" s="6" t="s">
        <v>39</v>
      </c>
      <c r="I1522" s="8" t="s">
        <v>1893</v>
      </c>
      <c r="J1522" s="9">
        <v>1</v>
      </c>
      <c r="K1522" s="9">
        <v>561</v>
      </c>
      <c r="L1522" s="9">
        <v>2026</v>
      </c>
      <c r="M1522" s="8" t="s">
        <v>8889</v>
      </c>
      <c r="N1522" s="8" t="s">
        <v>284</v>
      </c>
      <c r="O1522" s="8" t="s">
        <v>328</v>
      </c>
      <c r="P1522" s="6" t="s">
        <v>6778</v>
      </c>
      <c r="Q1522" s="8" t="s">
        <v>45</v>
      </c>
      <c r="R1522" s="10" t="s">
        <v>3769</v>
      </c>
      <c r="S1522" s="11"/>
      <c r="T1522" s="6"/>
      <c r="U1522" s="24" t="str">
        <f>HYPERLINK("https://media.infra-m.ru/2228/2228062/cover/2228062.jpg", "Обложка")</f>
        <v>Обложка</v>
      </c>
      <c r="V1522" s="24" t="str">
        <f>HYPERLINK("https://znanium.ru/catalog/product/2202555", "Ознакомиться")</f>
        <v>Ознакомиться</v>
      </c>
      <c r="W1522" s="8"/>
      <c r="X1522" s="6"/>
      <c r="Y1522" s="6"/>
      <c r="Z1522" s="6"/>
      <c r="AA1522" s="6" t="s">
        <v>8865</v>
      </c>
      <c r="AB1522" s="8"/>
    </row>
    <row r="1523" spans="1:28" s="4" customFormat="1" ht="42" customHeight="1">
      <c r="A1523" s="5">
        <v>0</v>
      </c>
      <c r="B1523" s="6" t="s">
        <v>8890</v>
      </c>
      <c r="C1523" s="7">
        <v>1068</v>
      </c>
      <c r="D1523" s="8" t="s">
        <v>8891</v>
      </c>
      <c r="E1523" s="8" t="s">
        <v>8892</v>
      </c>
      <c r="F1523" s="8" t="s">
        <v>1891</v>
      </c>
      <c r="G1523" s="6" t="s">
        <v>38</v>
      </c>
      <c r="H1523" s="6" t="s">
        <v>39</v>
      </c>
      <c r="I1523" s="8" t="s">
        <v>1893</v>
      </c>
      <c r="J1523" s="9">
        <v>1</v>
      </c>
      <c r="K1523" s="9">
        <v>187</v>
      </c>
      <c r="L1523" s="9">
        <v>2024</v>
      </c>
      <c r="M1523" s="8" t="s">
        <v>8893</v>
      </c>
      <c r="N1523" s="8" t="s">
        <v>284</v>
      </c>
      <c r="O1523" s="8" t="s">
        <v>285</v>
      </c>
      <c r="P1523" s="6" t="s">
        <v>6778</v>
      </c>
      <c r="Q1523" s="8" t="s">
        <v>45</v>
      </c>
      <c r="R1523" s="10" t="s">
        <v>8894</v>
      </c>
      <c r="S1523" s="11"/>
      <c r="T1523" s="6"/>
      <c r="U1523" s="24" t="str">
        <f>HYPERLINK("https://media.infra-m.ru/2133/2133526/cover/2133526.jpg", "Обложка")</f>
        <v>Обложка</v>
      </c>
      <c r="V1523" s="24" t="str">
        <f>HYPERLINK("https://znanium.ru/catalog/product/2133526", "Ознакомиться")</f>
        <v>Ознакомиться</v>
      </c>
      <c r="W1523" s="8"/>
      <c r="X1523" s="6"/>
      <c r="Y1523" s="6"/>
      <c r="Z1523" s="6"/>
      <c r="AA1523" s="6" t="s">
        <v>8895</v>
      </c>
      <c r="AB1523" s="8"/>
    </row>
    <row r="1524" spans="1:28" s="4" customFormat="1" ht="42" customHeight="1">
      <c r="A1524" s="5">
        <v>0</v>
      </c>
      <c r="B1524" s="6" t="s">
        <v>8896</v>
      </c>
      <c r="C1524" s="7">
        <v>1679.9</v>
      </c>
      <c r="D1524" s="8" t="s">
        <v>8897</v>
      </c>
      <c r="E1524" s="8" t="s">
        <v>8898</v>
      </c>
      <c r="F1524" s="8" t="s">
        <v>1891</v>
      </c>
      <c r="G1524" s="6" t="s">
        <v>81</v>
      </c>
      <c r="H1524" s="6" t="s">
        <v>39</v>
      </c>
      <c r="I1524" s="8" t="s">
        <v>1893</v>
      </c>
      <c r="J1524" s="9">
        <v>1</v>
      </c>
      <c r="K1524" s="9">
        <v>487</v>
      </c>
      <c r="L1524" s="9">
        <v>2018</v>
      </c>
      <c r="M1524" s="8" t="s">
        <v>8899</v>
      </c>
      <c r="N1524" s="8" t="s">
        <v>284</v>
      </c>
      <c r="O1524" s="8" t="s">
        <v>328</v>
      </c>
      <c r="P1524" s="6" t="s">
        <v>6778</v>
      </c>
      <c r="Q1524" s="8" t="s">
        <v>45</v>
      </c>
      <c r="R1524" s="10" t="s">
        <v>3769</v>
      </c>
      <c r="S1524" s="11"/>
      <c r="T1524" s="6"/>
      <c r="U1524" s="24" t="str">
        <f>HYPERLINK("https://media.infra-m.ru/0944/0944208/cover/944208.jpg", "Обложка")</f>
        <v>Обложка</v>
      </c>
      <c r="V1524" s="24" t="str">
        <f>HYPERLINK("https://znanium.ru/catalog/product/2202555", "Ознакомиться")</f>
        <v>Ознакомиться</v>
      </c>
      <c r="W1524" s="8"/>
      <c r="X1524" s="6"/>
      <c r="Y1524" s="6"/>
      <c r="Z1524" s="6"/>
      <c r="AA1524" s="6" t="s">
        <v>369</v>
      </c>
      <c r="AB1524" s="8"/>
    </row>
    <row r="1525" spans="1:28" s="4" customFormat="1" ht="42" customHeight="1">
      <c r="A1525" s="5">
        <v>0</v>
      </c>
      <c r="B1525" s="6" t="s">
        <v>8900</v>
      </c>
      <c r="C1525" s="7">
        <v>2196</v>
      </c>
      <c r="D1525" s="8" t="s">
        <v>8901</v>
      </c>
      <c r="E1525" s="8" t="s">
        <v>8902</v>
      </c>
      <c r="F1525" s="8"/>
      <c r="G1525" s="6" t="s">
        <v>81</v>
      </c>
      <c r="H1525" s="6" t="s">
        <v>39</v>
      </c>
      <c r="I1525" s="8" t="s">
        <v>1893</v>
      </c>
      <c r="J1525" s="9">
        <v>1</v>
      </c>
      <c r="K1525" s="9">
        <v>528</v>
      </c>
      <c r="L1525" s="9">
        <v>2020</v>
      </c>
      <c r="M1525" s="8" t="s">
        <v>8903</v>
      </c>
      <c r="N1525" s="8" t="s">
        <v>284</v>
      </c>
      <c r="O1525" s="8" t="s">
        <v>328</v>
      </c>
      <c r="P1525" s="6" t="s">
        <v>6778</v>
      </c>
      <c r="Q1525" s="8" t="s">
        <v>45</v>
      </c>
      <c r="R1525" s="10" t="s">
        <v>3769</v>
      </c>
      <c r="S1525" s="11"/>
      <c r="T1525" s="6"/>
      <c r="U1525" s="24" t="str">
        <f>HYPERLINK("https://media.infra-m.ru/1052/1052439/cover/1052439.jpg", "Обложка")</f>
        <v>Обложка</v>
      </c>
      <c r="V1525" s="24" t="str">
        <f>HYPERLINK("https://znanium.ru/catalog/product/2202555", "Ознакомиться")</f>
        <v>Ознакомиться</v>
      </c>
      <c r="W1525" s="8"/>
      <c r="X1525" s="6"/>
      <c r="Y1525" s="6"/>
      <c r="Z1525" s="6"/>
      <c r="AA1525" s="6" t="s">
        <v>892</v>
      </c>
      <c r="AB1525" s="8"/>
    </row>
    <row r="1526" spans="1:28" s="4" customFormat="1" ht="42" customHeight="1">
      <c r="A1526" s="5">
        <v>0</v>
      </c>
      <c r="B1526" s="6" t="s">
        <v>8904</v>
      </c>
      <c r="C1526" s="7">
        <v>2460</v>
      </c>
      <c r="D1526" s="8" t="s">
        <v>8905</v>
      </c>
      <c r="E1526" s="8" t="s">
        <v>8906</v>
      </c>
      <c r="F1526" s="8" t="s">
        <v>1891</v>
      </c>
      <c r="G1526" s="6" t="s">
        <v>81</v>
      </c>
      <c r="H1526" s="6" t="s">
        <v>39</v>
      </c>
      <c r="I1526" s="8" t="s">
        <v>1893</v>
      </c>
      <c r="J1526" s="9">
        <v>1</v>
      </c>
      <c r="K1526" s="9">
        <v>622</v>
      </c>
      <c r="L1526" s="9">
        <v>2022</v>
      </c>
      <c r="M1526" s="8" t="s">
        <v>8903</v>
      </c>
      <c r="N1526" s="8" t="s">
        <v>284</v>
      </c>
      <c r="O1526" s="8" t="s">
        <v>328</v>
      </c>
      <c r="P1526" s="6" t="s">
        <v>6778</v>
      </c>
      <c r="Q1526" s="8" t="s">
        <v>45</v>
      </c>
      <c r="R1526" s="10" t="s">
        <v>3769</v>
      </c>
      <c r="S1526" s="11"/>
      <c r="T1526" s="6"/>
      <c r="U1526" s="24" t="str">
        <f>HYPERLINK("https://media.infra-m.ru/1845/1845330/cover/1845330.jpg", "Обложка")</f>
        <v>Обложка</v>
      </c>
      <c r="V1526" s="24" t="str">
        <f>HYPERLINK("https://znanium.ru/catalog/product/2202555", "Ознакомиться")</f>
        <v>Ознакомиться</v>
      </c>
      <c r="W1526" s="8"/>
      <c r="X1526" s="6"/>
      <c r="Y1526" s="6"/>
      <c r="Z1526" s="6"/>
      <c r="AA1526" s="6" t="s">
        <v>8907</v>
      </c>
      <c r="AB1526" s="8"/>
    </row>
    <row r="1527" spans="1:28" s="4" customFormat="1" ht="42" customHeight="1">
      <c r="A1527" s="5">
        <v>0</v>
      </c>
      <c r="B1527" s="6" t="s">
        <v>8908</v>
      </c>
      <c r="C1527" s="7">
        <v>1956</v>
      </c>
      <c r="D1527" s="8" t="s">
        <v>8909</v>
      </c>
      <c r="E1527" s="8" t="s">
        <v>8910</v>
      </c>
      <c r="F1527" s="8" t="s">
        <v>1891</v>
      </c>
      <c r="G1527" s="6" t="s">
        <v>38</v>
      </c>
      <c r="H1527" s="6" t="s">
        <v>39</v>
      </c>
      <c r="I1527" s="8" t="s">
        <v>1893</v>
      </c>
      <c r="J1527" s="9">
        <v>1</v>
      </c>
      <c r="K1527" s="9">
        <v>436</v>
      </c>
      <c r="L1527" s="9">
        <v>2023</v>
      </c>
      <c r="M1527" s="8" t="s">
        <v>8911</v>
      </c>
      <c r="N1527" s="8" t="s">
        <v>284</v>
      </c>
      <c r="O1527" s="8" t="s">
        <v>285</v>
      </c>
      <c r="P1527" s="6" t="s">
        <v>6778</v>
      </c>
      <c r="Q1527" s="8" t="s">
        <v>45</v>
      </c>
      <c r="R1527" s="10" t="s">
        <v>8894</v>
      </c>
      <c r="S1527" s="11"/>
      <c r="T1527" s="6"/>
      <c r="U1527" s="24" t="str">
        <f>HYPERLINK("https://media.infra-m.ru/1833/1833418/cover/1833418.jpg", "Обложка")</f>
        <v>Обложка</v>
      </c>
      <c r="V1527" s="24" t="str">
        <f>HYPERLINK("https://znanium.ru/catalog/product/2133526", "Ознакомиться")</f>
        <v>Ознакомиться</v>
      </c>
      <c r="W1527" s="8"/>
      <c r="X1527" s="6"/>
      <c r="Y1527" s="6"/>
      <c r="Z1527" s="6"/>
      <c r="AA1527" s="6" t="s">
        <v>725</v>
      </c>
      <c r="AB1527" s="8"/>
    </row>
    <row r="1528" spans="1:28" s="4" customFormat="1" ht="42" customHeight="1">
      <c r="A1528" s="5">
        <v>0</v>
      </c>
      <c r="B1528" s="6" t="s">
        <v>8912</v>
      </c>
      <c r="C1528" s="7">
        <v>3720</v>
      </c>
      <c r="D1528" s="8" t="s">
        <v>8913</v>
      </c>
      <c r="E1528" s="8" t="s">
        <v>8914</v>
      </c>
      <c r="F1528" s="8"/>
      <c r="G1528" s="6" t="s">
        <v>132</v>
      </c>
      <c r="H1528" s="6" t="s">
        <v>39</v>
      </c>
      <c r="I1528" s="8" t="s">
        <v>1893</v>
      </c>
      <c r="J1528" s="9">
        <v>1</v>
      </c>
      <c r="K1528" s="9">
        <v>828</v>
      </c>
      <c r="L1528" s="9">
        <v>2024</v>
      </c>
      <c r="M1528" s="8" t="s">
        <v>8915</v>
      </c>
      <c r="N1528" s="8" t="s">
        <v>284</v>
      </c>
      <c r="O1528" s="8" t="s">
        <v>285</v>
      </c>
      <c r="P1528" s="6" t="s">
        <v>6778</v>
      </c>
      <c r="Q1528" s="8" t="s">
        <v>45</v>
      </c>
      <c r="R1528" s="10" t="s">
        <v>8916</v>
      </c>
      <c r="S1528" s="11"/>
      <c r="T1528" s="6"/>
      <c r="U1528" s="24" t="str">
        <f>HYPERLINK("https://media.infra-m.ru/2149/2149584/cover/2149584.jpg", "Обложка")</f>
        <v>Обложка</v>
      </c>
      <c r="V1528" s="24" t="str">
        <f>HYPERLINK("https://znanium.ru/catalog/product/2149584", "Ознакомиться")</f>
        <v>Ознакомиться</v>
      </c>
      <c r="W1528" s="8"/>
      <c r="X1528" s="6"/>
      <c r="Y1528" s="6"/>
      <c r="Z1528" s="6"/>
      <c r="AA1528" s="6" t="s">
        <v>119</v>
      </c>
      <c r="AB1528" s="8"/>
    </row>
    <row r="1529" spans="1:28" s="4" customFormat="1" ht="51.95" customHeight="1">
      <c r="A1529" s="5">
        <v>0</v>
      </c>
      <c r="B1529" s="6" t="s">
        <v>8917</v>
      </c>
      <c r="C1529" s="7">
        <v>2340</v>
      </c>
      <c r="D1529" s="8" t="s">
        <v>8918</v>
      </c>
      <c r="E1529" s="8" t="s">
        <v>8919</v>
      </c>
      <c r="F1529" s="8" t="s">
        <v>8920</v>
      </c>
      <c r="G1529" s="6" t="s">
        <v>81</v>
      </c>
      <c r="H1529" s="6" t="s">
        <v>99</v>
      </c>
      <c r="I1529" s="8"/>
      <c r="J1529" s="9">
        <v>1</v>
      </c>
      <c r="K1529" s="9">
        <v>528</v>
      </c>
      <c r="L1529" s="9">
        <v>2021</v>
      </c>
      <c r="M1529" s="8" t="s">
        <v>8921</v>
      </c>
      <c r="N1529" s="8" t="s">
        <v>42</v>
      </c>
      <c r="O1529" s="8" t="s">
        <v>101</v>
      </c>
      <c r="P1529" s="6" t="s">
        <v>44</v>
      </c>
      <c r="Q1529" s="8" t="s">
        <v>8133</v>
      </c>
      <c r="R1529" s="10" t="s">
        <v>1939</v>
      </c>
      <c r="S1529" s="11"/>
      <c r="T1529" s="6"/>
      <c r="U1529" s="24" t="str">
        <f>HYPERLINK("https://media.infra-m.ru/1239/1239233/cover/1239233.jpg", "Обложка")</f>
        <v>Обложка</v>
      </c>
      <c r="V1529" s="24" t="str">
        <f>HYPERLINK("https://znanium.ru/catalog/product/1048440", "Ознакомиться")</f>
        <v>Ознакомиться</v>
      </c>
      <c r="W1529" s="8" t="s">
        <v>418</v>
      </c>
      <c r="X1529" s="6"/>
      <c r="Y1529" s="6"/>
      <c r="Z1529" s="6"/>
      <c r="AA1529" s="6" t="s">
        <v>339</v>
      </c>
      <c r="AB1529" s="8"/>
    </row>
    <row r="1530" spans="1:28" s="4" customFormat="1" ht="42" customHeight="1">
      <c r="A1530" s="5">
        <v>0</v>
      </c>
      <c r="B1530" s="6" t="s">
        <v>8922</v>
      </c>
      <c r="C1530" s="13">
        <v>888</v>
      </c>
      <c r="D1530" s="8" t="s">
        <v>8923</v>
      </c>
      <c r="E1530" s="8" t="s">
        <v>8924</v>
      </c>
      <c r="F1530" s="8" t="s">
        <v>8925</v>
      </c>
      <c r="G1530" s="6" t="s">
        <v>81</v>
      </c>
      <c r="H1530" s="6" t="s">
        <v>99</v>
      </c>
      <c r="I1530" s="8"/>
      <c r="J1530" s="9">
        <v>1</v>
      </c>
      <c r="K1530" s="9">
        <v>136</v>
      </c>
      <c r="L1530" s="9">
        <v>2025</v>
      </c>
      <c r="M1530" s="8" t="s">
        <v>8926</v>
      </c>
      <c r="N1530" s="8" t="s">
        <v>42</v>
      </c>
      <c r="O1530" s="8" t="s">
        <v>101</v>
      </c>
      <c r="P1530" s="6" t="s">
        <v>44</v>
      </c>
      <c r="Q1530" s="8" t="s">
        <v>45</v>
      </c>
      <c r="R1530" s="10" t="s">
        <v>8927</v>
      </c>
      <c r="S1530" s="11"/>
      <c r="T1530" s="6"/>
      <c r="U1530" s="24" t="str">
        <f>HYPERLINK("https://media.infra-m.ru/2169/2169157/cover/2169157.jpg", "Обложка")</f>
        <v>Обложка</v>
      </c>
      <c r="V1530" s="24" t="str">
        <f>HYPERLINK("https://znanium.ru/catalog/product/2169157", "Ознакомиться")</f>
        <v>Ознакомиться</v>
      </c>
      <c r="W1530" s="8" t="s">
        <v>103</v>
      </c>
      <c r="X1530" s="6"/>
      <c r="Y1530" s="6"/>
      <c r="Z1530" s="6"/>
      <c r="AA1530" s="6" t="s">
        <v>199</v>
      </c>
      <c r="AB1530" s="8"/>
    </row>
    <row r="1531" spans="1:28" s="4" customFormat="1" ht="42" customHeight="1">
      <c r="A1531" s="5">
        <v>0</v>
      </c>
      <c r="B1531" s="6" t="s">
        <v>8928</v>
      </c>
      <c r="C1531" s="13">
        <v>804</v>
      </c>
      <c r="D1531" s="8" t="s">
        <v>8929</v>
      </c>
      <c r="E1531" s="8" t="s">
        <v>8930</v>
      </c>
      <c r="F1531" s="8" t="s">
        <v>8931</v>
      </c>
      <c r="G1531" s="6" t="s">
        <v>38</v>
      </c>
      <c r="H1531" s="6" t="s">
        <v>39</v>
      </c>
      <c r="I1531" s="8" t="s">
        <v>40</v>
      </c>
      <c r="J1531" s="9">
        <v>1</v>
      </c>
      <c r="K1531" s="9">
        <v>158</v>
      </c>
      <c r="L1531" s="9">
        <v>2022</v>
      </c>
      <c r="M1531" s="8" t="s">
        <v>8932</v>
      </c>
      <c r="N1531" s="8" t="s">
        <v>42</v>
      </c>
      <c r="O1531" s="8" t="s">
        <v>101</v>
      </c>
      <c r="P1531" s="6" t="s">
        <v>44</v>
      </c>
      <c r="Q1531" s="8" t="s">
        <v>45</v>
      </c>
      <c r="R1531" s="10" t="s">
        <v>2946</v>
      </c>
      <c r="S1531" s="11"/>
      <c r="T1531" s="6"/>
      <c r="U1531" s="24" t="str">
        <f>HYPERLINK("https://media.infra-m.ru/1869/1869671/cover/1869671.jpg", "Обложка")</f>
        <v>Обложка</v>
      </c>
      <c r="V1531" s="24" t="str">
        <f>HYPERLINK("https://znanium.ru/catalog/product/1869671", "Ознакомиться")</f>
        <v>Ознакомиться</v>
      </c>
      <c r="W1531" s="8" t="s">
        <v>8933</v>
      </c>
      <c r="X1531" s="6"/>
      <c r="Y1531" s="6"/>
      <c r="Z1531" s="6"/>
      <c r="AA1531" s="6" t="s">
        <v>369</v>
      </c>
      <c r="AB1531" s="8"/>
    </row>
    <row r="1532" spans="1:28" s="4" customFormat="1" ht="42" customHeight="1">
      <c r="A1532" s="5">
        <v>0</v>
      </c>
      <c r="B1532" s="6" t="s">
        <v>8934</v>
      </c>
      <c r="C1532" s="7">
        <v>2212.8000000000002</v>
      </c>
      <c r="D1532" s="8" t="s">
        <v>8935</v>
      </c>
      <c r="E1532" s="8" t="s">
        <v>8936</v>
      </c>
      <c r="F1532" s="8" t="s">
        <v>8937</v>
      </c>
      <c r="G1532" s="6" t="s">
        <v>132</v>
      </c>
      <c r="H1532" s="6" t="s">
        <v>99</v>
      </c>
      <c r="I1532" s="8"/>
      <c r="J1532" s="9">
        <v>1</v>
      </c>
      <c r="K1532" s="9">
        <v>368</v>
      </c>
      <c r="L1532" s="9">
        <v>2025</v>
      </c>
      <c r="M1532" s="8" t="s">
        <v>8938</v>
      </c>
      <c r="N1532" s="8" t="s">
        <v>42</v>
      </c>
      <c r="O1532" s="8" t="s">
        <v>101</v>
      </c>
      <c r="P1532" s="6" t="s">
        <v>44</v>
      </c>
      <c r="Q1532" s="8" t="s">
        <v>45</v>
      </c>
      <c r="R1532" s="10" t="s">
        <v>2490</v>
      </c>
      <c r="S1532" s="11"/>
      <c r="T1532" s="6"/>
      <c r="U1532" s="24" t="str">
        <f>HYPERLINK("https://media.infra-m.ru/2184/2184380/cover/2184380.jpg", "Обложка")</f>
        <v>Обложка</v>
      </c>
      <c r="V1532" s="24" t="str">
        <f>HYPERLINK("https://znanium.ru/catalog/product/1912889", "Ознакомиться")</f>
        <v>Ознакомиться</v>
      </c>
      <c r="W1532" s="8" t="s">
        <v>565</v>
      </c>
      <c r="X1532" s="6"/>
      <c r="Y1532" s="6"/>
      <c r="Z1532" s="6"/>
      <c r="AA1532" s="6" t="s">
        <v>199</v>
      </c>
      <c r="AB1532" s="8"/>
    </row>
    <row r="1533" spans="1:28" s="4" customFormat="1" ht="51.95" customHeight="1">
      <c r="A1533" s="5">
        <v>0</v>
      </c>
      <c r="B1533" s="6" t="s">
        <v>8939</v>
      </c>
      <c r="C1533" s="7">
        <v>1836</v>
      </c>
      <c r="D1533" s="8" t="s">
        <v>8940</v>
      </c>
      <c r="E1533" s="8" t="s">
        <v>8941</v>
      </c>
      <c r="F1533" s="8" t="s">
        <v>8942</v>
      </c>
      <c r="G1533" s="6" t="s">
        <v>81</v>
      </c>
      <c r="H1533" s="6" t="s">
        <v>99</v>
      </c>
      <c r="I1533" s="8"/>
      <c r="J1533" s="9">
        <v>1</v>
      </c>
      <c r="K1533" s="9">
        <v>304</v>
      </c>
      <c r="L1533" s="9">
        <v>2025</v>
      </c>
      <c r="M1533" s="8" t="s">
        <v>8943</v>
      </c>
      <c r="N1533" s="8" t="s">
        <v>42</v>
      </c>
      <c r="O1533" s="8" t="s">
        <v>101</v>
      </c>
      <c r="P1533" s="6" t="s">
        <v>44</v>
      </c>
      <c r="Q1533" s="8" t="s">
        <v>45</v>
      </c>
      <c r="R1533" s="10" t="s">
        <v>8944</v>
      </c>
      <c r="S1533" s="11"/>
      <c r="T1533" s="6"/>
      <c r="U1533" s="24" t="str">
        <f>HYPERLINK("https://media.infra-m.ru/2184/2184880/cover/2184880.jpg", "Обложка")</f>
        <v>Обложка</v>
      </c>
      <c r="V1533" s="24" t="str">
        <f>HYPERLINK("https://znanium.ru/catalog/product/1852692", "Ознакомиться")</f>
        <v>Ознакомиться</v>
      </c>
      <c r="W1533" s="8" t="s">
        <v>418</v>
      </c>
      <c r="X1533" s="6"/>
      <c r="Y1533" s="6"/>
      <c r="Z1533" s="6"/>
      <c r="AA1533" s="6" t="s">
        <v>4639</v>
      </c>
      <c r="AB1533" s="8"/>
    </row>
    <row r="1534" spans="1:28" s="4" customFormat="1" ht="51.95" customHeight="1">
      <c r="A1534" s="5">
        <v>0</v>
      </c>
      <c r="B1534" s="6" t="s">
        <v>8945</v>
      </c>
      <c r="C1534" s="13">
        <v>948</v>
      </c>
      <c r="D1534" s="8" t="s">
        <v>8946</v>
      </c>
      <c r="E1534" s="8" t="s">
        <v>8947</v>
      </c>
      <c r="F1534" s="8" t="s">
        <v>8948</v>
      </c>
      <c r="G1534" s="6" t="s">
        <v>81</v>
      </c>
      <c r="H1534" s="6" t="s">
        <v>99</v>
      </c>
      <c r="I1534" s="8"/>
      <c r="J1534" s="9">
        <v>1</v>
      </c>
      <c r="K1534" s="9">
        <v>152</v>
      </c>
      <c r="L1534" s="9">
        <v>2025</v>
      </c>
      <c r="M1534" s="8" t="s">
        <v>8949</v>
      </c>
      <c r="N1534" s="8" t="s">
        <v>42</v>
      </c>
      <c r="O1534" s="8" t="s">
        <v>101</v>
      </c>
      <c r="P1534" s="6" t="s">
        <v>44</v>
      </c>
      <c r="Q1534" s="8" t="s">
        <v>45</v>
      </c>
      <c r="R1534" s="10" t="s">
        <v>8950</v>
      </c>
      <c r="S1534" s="11"/>
      <c r="T1534" s="6"/>
      <c r="U1534" s="24" t="str">
        <f>HYPERLINK("https://media.infra-m.ru/2176/2176388/cover/2176388.jpg", "Обложка")</f>
        <v>Обложка</v>
      </c>
      <c r="V1534" s="24" t="str">
        <f>HYPERLINK("https://znanium.ru/catalog/product/1905571", "Ознакомиться")</f>
        <v>Ознакомиться</v>
      </c>
      <c r="W1534" s="8" t="s">
        <v>418</v>
      </c>
      <c r="X1534" s="6"/>
      <c r="Y1534" s="6"/>
      <c r="Z1534" s="6"/>
      <c r="AA1534" s="6" t="s">
        <v>119</v>
      </c>
      <c r="AB1534" s="8"/>
    </row>
    <row r="1535" spans="1:28" s="4" customFormat="1" ht="42" customHeight="1">
      <c r="A1535" s="5">
        <v>0</v>
      </c>
      <c r="B1535" s="6" t="s">
        <v>8951</v>
      </c>
      <c r="C1535" s="7">
        <v>1072.8</v>
      </c>
      <c r="D1535" s="8" t="s">
        <v>8952</v>
      </c>
      <c r="E1535" s="8" t="s">
        <v>8953</v>
      </c>
      <c r="F1535" s="8" t="s">
        <v>8954</v>
      </c>
      <c r="G1535" s="6" t="s">
        <v>81</v>
      </c>
      <c r="H1535" s="6" t="s">
        <v>99</v>
      </c>
      <c r="I1535" s="8"/>
      <c r="J1535" s="9">
        <v>1</v>
      </c>
      <c r="K1535" s="9">
        <v>160</v>
      </c>
      <c r="L1535" s="9">
        <v>2025</v>
      </c>
      <c r="M1535" s="8" t="s">
        <v>8955</v>
      </c>
      <c r="N1535" s="8" t="s">
        <v>42</v>
      </c>
      <c r="O1535" s="8" t="s">
        <v>101</v>
      </c>
      <c r="P1535" s="6" t="s">
        <v>44</v>
      </c>
      <c r="Q1535" s="8" t="s">
        <v>45</v>
      </c>
      <c r="R1535" s="10" t="s">
        <v>269</v>
      </c>
      <c r="S1535" s="11"/>
      <c r="T1535" s="6"/>
      <c r="U1535" s="24" t="str">
        <f>HYPERLINK("https://media.infra-m.ru/2181/2181579/cover/2181579.jpg", "Обложка")</f>
        <v>Обложка</v>
      </c>
      <c r="V1535" s="24" t="str">
        <f>HYPERLINK("https://znanium.ru/catalog/product/1861900", "Ознакомиться")</f>
        <v>Ознакомиться</v>
      </c>
      <c r="W1535" s="8" t="s">
        <v>305</v>
      </c>
      <c r="X1535" s="6"/>
      <c r="Y1535" s="6"/>
      <c r="Z1535" s="6"/>
      <c r="AA1535" s="6" t="s">
        <v>111</v>
      </c>
      <c r="AB1535" s="8"/>
    </row>
    <row r="1536" spans="1:28" s="4" customFormat="1" ht="42" customHeight="1">
      <c r="A1536" s="5">
        <v>0</v>
      </c>
      <c r="B1536" s="6" t="s">
        <v>8956</v>
      </c>
      <c r="C1536" s="7">
        <v>1132.8</v>
      </c>
      <c r="D1536" s="8" t="s">
        <v>8957</v>
      </c>
      <c r="E1536" s="8" t="s">
        <v>8958</v>
      </c>
      <c r="F1536" s="8" t="s">
        <v>5721</v>
      </c>
      <c r="G1536" s="6" t="s">
        <v>132</v>
      </c>
      <c r="H1536" s="6" t="s">
        <v>99</v>
      </c>
      <c r="I1536" s="8"/>
      <c r="J1536" s="9">
        <v>1</v>
      </c>
      <c r="K1536" s="9">
        <v>176</v>
      </c>
      <c r="L1536" s="9">
        <v>2026</v>
      </c>
      <c r="M1536" s="8" t="s">
        <v>8959</v>
      </c>
      <c r="N1536" s="8" t="s">
        <v>42</v>
      </c>
      <c r="O1536" s="8" t="s">
        <v>101</v>
      </c>
      <c r="P1536" s="6" t="s">
        <v>44</v>
      </c>
      <c r="Q1536" s="8" t="s">
        <v>45</v>
      </c>
      <c r="R1536" s="10" t="s">
        <v>2490</v>
      </c>
      <c r="S1536" s="11"/>
      <c r="T1536" s="6"/>
      <c r="U1536" s="24" t="str">
        <f>HYPERLINK("https://media.infra-m.ru/2217/2217098/cover/2217098.jpg", "Обложка")</f>
        <v>Обложка</v>
      </c>
      <c r="V1536" s="24" t="str">
        <f>HYPERLINK("https://znanium.ru/catalog/product/1958346", "Ознакомиться")</f>
        <v>Ознакомиться</v>
      </c>
      <c r="W1536" s="8" t="s">
        <v>516</v>
      </c>
      <c r="X1536" s="6"/>
      <c r="Y1536" s="6"/>
      <c r="Z1536" s="6"/>
      <c r="AA1536" s="6" t="s">
        <v>725</v>
      </c>
      <c r="AB1536" s="8"/>
    </row>
    <row r="1537" spans="1:28" s="4" customFormat="1" ht="42" customHeight="1">
      <c r="A1537" s="5">
        <v>0</v>
      </c>
      <c r="B1537" s="6" t="s">
        <v>8960</v>
      </c>
      <c r="C1537" s="13">
        <v>828</v>
      </c>
      <c r="D1537" s="8" t="s">
        <v>8961</v>
      </c>
      <c r="E1537" s="8" t="s">
        <v>8962</v>
      </c>
      <c r="F1537" s="8" t="s">
        <v>5721</v>
      </c>
      <c r="G1537" s="6" t="s">
        <v>81</v>
      </c>
      <c r="H1537" s="6" t="s">
        <v>99</v>
      </c>
      <c r="I1537" s="8"/>
      <c r="J1537" s="9">
        <v>1</v>
      </c>
      <c r="K1537" s="9">
        <v>144</v>
      </c>
      <c r="L1537" s="9">
        <v>2023</v>
      </c>
      <c r="M1537" s="8" t="s">
        <v>8963</v>
      </c>
      <c r="N1537" s="8" t="s">
        <v>42</v>
      </c>
      <c r="O1537" s="8" t="s">
        <v>101</v>
      </c>
      <c r="P1537" s="6" t="s">
        <v>44</v>
      </c>
      <c r="Q1537" s="8" t="s">
        <v>45</v>
      </c>
      <c r="R1537" s="10" t="s">
        <v>2490</v>
      </c>
      <c r="S1537" s="11"/>
      <c r="T1537" s="6"/>
      <c r="U1537" s="24" t="str">
        <f>HYPERLINK("https://media.infra-m.ru/1864/1864113/cover/1864113.jpg", "Обложка")</f>
        <v>Обложка</v>
      </c>
      <c r="V1537" s="24" t="str">
        <f>HYPERLINK("https://znanium.ru/catalog/product/1958346", "Ознакомиться")</f>
        <v>Ознакомиться</v>
      </c>
      <c r="W1537" s="8" t="s">
        <v>516</v>
      </c>
      <c r="X1537" s="6"/>
      <c r="Y1537" s="6"/>
      <c r="Z1537" s="6"/>
      <c r="AA1537" s="6" t="s">
        <v>168</v>
      </c>
      <c r="AB1537" s="8"/>
    </row>
    <row r="1538" spans="1:28" s="4" customFormat="1" ht="51.95" customHeight="1">
      <c r="A1538" s="5">
        <v>0</v>
      </c>
      <c r="B1538" s="6" t="s">
        <v>8964</v>
      </c>
      <c r="C1538" s="7">
        <v>1668</v>
      </c>
      <c r="D1538" s="8" t="s">
        <v>8965</v>
      </c>
      <c r="E1538" s="8" t="s">
        <v>8966</v>
      </c>
      <c r="F1538" s="8" t="s">
        <v>131</v>
      </c>
      <c r="G1538" s="6" t="s">
        <v>81</v>
      </c>
      <c r="H1538" s="6" t="s">
        <v>39</v>
      </c>
      <c r="I1538" s="8" t="s">
        <v>40</v>
      </c>
      <c r="J1538" s="9">
        <v>1</v>
      </c>
      <c r="K1538" s="9">
        <v>266</v>
      </c>
      <c r="L1538" s="9">
        <v>2025</v>
      </c>
      <c r="M1538" s="8" t="s">
        <v>8967</v>
      </c>
      <c r="N1538" s="8" t="s">
        <v>42</v>
      </c>
      <c r="O1538" s="8" t="s">
        <v>65</v>
      </c>
      <c r="P1538" s="6" t="s">
        <v>44</v>
      </c>
      <c r="Q1538" s="8" t="s">
        <v>45</v>
      </c>
      <c r="R1538" s="10" t="s">
        <v>1896</v>
      </c>
      <c r="S1538" s="11"/>
      <c r="T1538" s="6"/>
      <c r="U1538" s="24" t="str">
        <f>HYPERLINK("https://media.infra-m.ru/2209/2209477/cover/2209477.jpg", "Обложка")</f>
        <v>Обложка</v>
      </c>
      <c r="V1538" s="24" t="str">
        <f>HYPERLINK("https://znanium.ru/catalog/product/2209477", "Ознакомиться")</f>
        <v>Ознакомиться</v>
      </c>
      <c r="W1538" s="8" t="s">
        <v>93</v>
      </c>
      <c r="X1538" s="6"/>
      <c r="Y1538" s="6"/>
      <c r="Z1538" s="6"/>
      <c r="AA1538" s="6" t="s">
        <v>339</v>
      </c>
      <c r="AB1538" s="8"/>
    </row>
    <row r="1539" spans="1:28" s="4" customFormat="1" ht="51.95" customHeight="1">
      <c r="A1539" s="5">
        <v>0</v>
      </c>
      <c r="B1539" s="6" t="s">
        <v>8968</v>
      </c>
      <c r="C1539" s="7">
        <v>1248</v>
      </c>
      <c r="D1539" s="8" t="s">
        <v>8969</v>
      </c>
      <c r="E1539" s="8" t="s">
        <v>8970</v>
      </c>
      <c r="F1539" s="8" t="s">
        <v>8971</v>
      </c>
      <c r="G1539" s="6" t="s">
        <v>81</v>
      </c>
      <c r="H1539" s="6" t="s">
        <v>99</v>
      </c>
      <c r="I1539" s="8"/>
      <c r="J1539" s="9">
        <v>1</v>
      </c>
      <c r="K1539" s="9">
        <v>200</v>
      </c>
      <c r="L1539" s="9">
        <v>2026</v>
      </c>
      <c r="M1539" s="8" t="s">
        <v>8972</v>
      </c>
      <c r="N1539" s="8" t="s">
        <v>42</v>
      </c>
      <c r="O1539" s="8" t="s">
        <v>101</v>
      </c>
      <c r="P1539" s="6" t="s">
        <v>44</v>
      </c>
      <c r="Q1539" s="8" t="s">
        <v>45</v>
      </c>
      <c r="R1539" s="10" t="s">
        <v>3853</v>
      </c>
      <c r="S1539" s="11"/>
      <c r="T1539" s="6"/>
      <c r="U1539" s="24" t="str">
        <f>HYPERLINK("https://media.infra-m.ru/2216/2216316/cover/2216316.jpg", "Обложка")</f>
        <v>Обложка</v>
      </c>
      <c r="V1539" s="24" t="str">
        <f>HYPERLINK("https://znanium.ru/catalog/product/2216316", "Ознакомиться")</f>
        <v>Ознакомиться</v>
      </c>
      <c r="W1539" s="8" t="s">
        <v>8973</v>
      </c>
      <c r="X1539" s="6"/>
      <c r="Y1539" s="6"/>
      <c r="Z1539" s="6"/>
      <c r="AA1539" s="6" t="s">
        <v>199</v>
      </c>
      <c r="AB1539" s="8"/>
    </row>
    <row r="1540" spans="1:28" s="4" customFormat="1" ht="42" customHeight="1">
      <c r="A1540" s="5">
        <v>0</v>
      </c>
      <c r="B1540" s="6" t="s">
        <v>8974</v>
      </c>
      <c r="C1540" s="7">
        <v>3216</v>
      </c>
      <c r="D1540" s="8" t="s">
        <v>8975</v>
      </c>
      <c r="E1540" s="8" t="s">
        <v>8976</v>
      </c>
      <c r="F1540" s="8" t="s">
        <v>259</v>
      </c>
      <c r="G1540" s="6" t="s">
        <v>132</v>
      </c>
      <c r="H1540" s="6" t="s">
        <v>99</v>
      </c>
      <c r="I1540" s="8"/>
      <c r="J1540" s="9">
        <v>1</v>
      </c>
      <c r="K1540" s="9">
        <v>536</v>
      </c>
      <c r="L1540" s="9">
        <v>2025</v>
      </c>
      <c r="M1540" s="8" t="s">
        <v>8977</v>
      </c>
      <c r="N1540" s="8" t="s">
        <v>42</v>
      </c>
      <c r="O1540" s="8" t="s">
        <v>101</v>
      </c>
      <c r="P1540" s="6" t="s">
        <v>44</v>
      </c>
      <c r="Q1540" s="8" t="s">
        <v>45</v>
      </c>
      <c r="R1540" s="10" t="s">
        <v>874</v>
      </c>
      <c r="S1540" s="11"/>
      <c r="T1540" s="6"/>
      <c r="U1540" s="24" t="str">
        <f>HYPERLINK("https://media.infra-m.ru/2187/2187214/cover/2187214.jpg", "Обложка")</f>
        <v>Обложка</v>
      </c>
      <c r="V1540" s="24" t="str">
        <f>HYPERLINK("https://znanium.ru/catalog/product/2187214", "Ознакомиться")</f>
        <v>Ознакомиться</v>
      </c>
      <c r="W1540" s="8" t="s">
        <v>262</v>
      </c>
      <c r="X1540" s="6"/>
      <c r="Y1540" s="6"/>
      <c r="Z1540" s="6"/>
      <c r="AA1540" s="6" t="s">
        <v>8978</v>
      </c>
      <c r="AB1540" s="8"/>
    </row>
    <row r="1541" spans="1:28" s="4" customFormat="1" ht="42" customHeight="1">
      <c r="A1541" s="5">
        <v>0</v>
      </c>
      <c r="B1541" s="6" t="s">
        <v>8979</v>
      </c>
      <c r="C1541" s="7">
        <v>1992</v>
      </c>
      <c r="D1541" s="8" t="s">
        <v>8980</v>
      </c>
      <c r="E1541" s="8" t="s">
        <v>8981</v>
      </c>
      <c r="F1541" s="8" t="s">
        <v>259</v>
      </c>
      <c r="G1541" s="6" t="s">
        <v>81</v>
      </c>
      <c r="H1541" s="6" t="s">
        <v>99</v>
      </c>
      <c r="I1541" s="8"/>
      <c r="J1541" s="9">
        <v>1</v>
      </c>
      <c r="K1541" s="9">
        <v>368</v>
      </c>
      <c r="L1541" s="9">
        <v>2023</v>
      </c>
      <c r="M1541" s="8" t="s">
        <v>8982</v>
      </c>
      <c r="N1541" s="8" t="s">
        <v>42</v>
      </c>
      <c r="O1541" s="8" t="s">
        <v>101</v>
      </c>
      <c r="P1541" s="6" t="s">
        <v>44</v>
      </c>
      <c r="Q1541" s="8" t="s">
        <v>45</v>
      </c>
      <c r="R1541" s="10" t="s">
        <v>874</v>
      </c>
      <c r="S1541" s="11"/>
      <c r="T1541" s="6"/>
      <c r="U1541" s="24" t="str">
        <f>HYPERLINK("https://media.infra-m.ru/1912/1912908/cover/1912908.jpg", "Обложка")</f>
        <v>Обложка</v>
      </c>
      <c r="V1541" s="24" t="str">
        <f>HYPERLINK("https://znanium.ru/catalog/product/2187214", "Ознакомиться")</f>
        <v>Ознакомиться</v>
      </c>
      <c r="W1541" s="8" t="s">
        <v>262</v>
      </c>
      <c r="X1541" s="6"/>
      <c r="Y1541" s="6"/>
      <c r="Z1541" s="6"/>
      <c r="AA1541" s="6" t="s">
        <v>1494</v>
      </c>
      <c r="AB1541" s="8"/>
    </row>
    <row r="1542" spans="1:28" s="4" customFormat="1" ht="44.1" customHeight="1">
      <c r="A1542" s="5">
        <v>0</v>
      </c>
      <c r="B1542" s="6" t="s">
        <v>8983</v>
      </c>
      <c r="C1542" s="7">
        <v>2500.8000000000002</v>
      </c>
      <c r="D1542" s="8" t="s">
        <v>8984</v>
      </c>
      <c r="E1542" s="8" t="s">
        <v>8985</v>
      </c>
      <c r="F1542" s="8" t="s">
        <v>3316</v>
      </c>
      <c r="G1542" s="6" t="s">
        <v>132</v>
      </c>
      <c r="H1542" s="6" t="s">
        <v>2052</v>
      </c>
      <c r="I1542" s="8"/>
      <c r="J1542" s="9">
        <v>1</v>
      </c>
      <c r="K1542" s="9">
        <v>400</v>
      </c>
      <c r="L1542" s="9">
        <v>2026</v>
      </c>
      <c r="M1542" s="8"/>
      <c r="N1542" s="8" t="s">
        <v>42</v>
      </c>
      <c r="O1542" s="8" t="s">
        <v>101</v>
      </c>
      <c r="P1542" s="6" t="s">
        <v>44</v>
      </c>
      <c r="Q1542" s="8" t="s">
        <v>1152</v>
      </c>
      <c r="R1542" s="10" t="s">
        <v>8986</v>
      </c>
      <c r="S1542" s="11"/>
      <c r="T1542" s="6"/>
      <c r="U1542" s="12"/>
      <c r="V1542" s="24" t="str">
        <f>HYPERLINK("https://znanium.ru/catalog/product/1859590", "Ознакомиться")</f>
        <v>Ознакомиться</v>
      </c>
      <c r="W1542" s="8" t="s">
        <v>803</v>
      </c>
      <c r="X1542" s="6"/>
      <c r="Y1542" s="6"/>
      <c r="Z1542" s="6"/>
      <c r="AA1542" s="6" t="s">
        <v>290</v>
      </c>
      <c r="AB1542" s="8"/>
    </row>
    <row r="1543" spans="1:28" s="4" customFormat="1" ht="51.95" customHeight="1">
      <c r="A1543" s="5">
        <v>0</v>
      </c>
      <c r="B1543" s="6" t="s">
        <v>8987</v>
      </c>
      <c r="C1543" s="7">
        <v>1296</v>
      </c>
      <c r="D1543" s="8" t="s">
        <v>8988</v>
      </c>
      <c r="E1543" s="8" t="s">
        <v>8989</v>
      </c>
      <c r="F1543" s="8" t="s">
        <v>8990</v>
      </c>
      <c r="G1543" s="6" t="s">
        <v>81</v>
      </c>
      <c r="H1543" s="6" t="s">
        <v>39</v>
      </c>
      <c r="I1543" s="8" t="s">
        <v>336</v>
      </c>
      <c r="J1543" s="9">
        <v>1</v>
      </c>
      <c r="K1543" s="9">
        <v>240</v>
      </c>
      <c r="L1543" s="9">
        <v>2023</v>
      </c>
      <c r="M1543" s="8" t="s">
        <v>8991</v>
      </c>
      <c r="N1543" s="8" t="s">
        <v>42</v>
      </c>
      <c r="O1543" s="8" t="s">
        <v>101</v>
      </c>
      <c r="P1543" s="6" t="s">
        <v>44</v>
      </c>
      <c r="Q1543" s="8" t="s">
        <v>45</v>
      </c>
      <c r="R1543" s="10" t="s">
        <v>8992</v>
      </c>
      <c r="S1543" s="11"/>
      <c r="T1543" s="6"/>
      <c r="U1543" s="24" t="str">
        <f>HYPERLINK("https://media.infra-m.ru/1913/1913673/cover/1913673.jpg", "Обложка")</f>
        <v>Обложка</v>
      </c>
      <c r="V1543" s="24" t="str">
        <f>HYPERLINK("https://znanium.ru/catalog/product/1913673", "Ознакомиться")</f>
        <v>Ознакомиться</v>
      </c>
      <c r="W1543" s="8" t="s">
        <v>103</v>
      </c>
      <c r="X1543" s="6"/>
      <c r="Y1543" s="6"/>
      <c r="Z1543" s="6"/>
      <c r="AA1543" s="6" t="s">
        <v>377</v>
      </c>
      <c r="AB1543" s="8"/>
    </row>
    <row r="1544" spans="1:28" s="4" customFormat="1" ht="51.95" customHeight="1">
      <c r="A1544" s="5">
        <v>0</v>
      </c>
      <c r="B1544" s="6" t="s">
        <v>8993</v>
      </c>
      <c r="C1544" s="7">
        <v>1528.8</v>
      </c>
      <c r="D1544" s="8" t="s">
        <v>8994</v>
      </c>
      <c r="E1544" s="8" t="s">
        <v>8995</v>
      </c>
      <c r="F1544" s="8" t="s">
        <v>8996</v>
      </c>
      <c r="G1544" s="6" t="s">
        <v>132</v>
      </c>
      <c r="H1544" s="6" t="s">
        <v>99</v>
      </c>
      <c r="I1544" s="8"/>
      <c r="J1544" s="9">
        <v>1</v>
      </c>
      <c r="K1544" s="9">
        <v>244</v>
      </c>
      <c r="L1544" s="9">
        <v>2025</v>
      </c>
      <c r="M1544" s="8" t="s">
        <v>8997</v>
      </c>
      <c r="N1544" s="8" t="s">
        <v>42</v>
      </c>
      <c r="O1544" s="8" t="s">
        <v>101</v>
      </c>
      <c r="P1544" s="6" t="s">
        <v>44</v>
      </c>
      <c r="Q1544" s="8" t="s">
        <v>45</v>
      </c>
      <c r="R1544" s="10" t="s">
        <v>5214</v>
      </c>
      <c r="S1544" s="11"/>
      <c r="T1544" s="6"/>
      <c r="U1544" s="24" t="str">
        <f>HYPERLINK("https://media.infra-m.ru/2208/2208435/cover/2208435.jpg", "Обложка")</f>
        <v>Обложка</v>
      </c>
      <c r="V1544" s="24" t="str">
        <f>HYPERLINK("https://znanium.ru/catalog/product/2132327", "Ознакомиться")</f>
        <v>Ознакомиться</v>
      </c>
      <c r="W1544" s="8" t="s">
        <v>516</v>
      </c>
      <c r="X1544" s="6"/>
      <c r="Y1544" s="6"/>
      <c r="Z1544" s="6"/>
      <c r="AA1544" s="6" t="s">
        <v>58</v>
      </c>
      <c r="AB1544" s="8"/>
    </row>
    <row r="1545" spans="1:28" s="4" customFormat="1" ht="51.95" customHeight="1">
      <c r="A1545" s="5">
        <v>0</v>
      </c>
      <c r="B1545" s="6" t="s">
        <v>8998</v>
      </c>
      <c r="C1545" s="7">
        <v>1584</v>
      </c>
      <c r="D1545" s="8" t="s">
        <v>8999</v>
      </c>
      <c r="E1545" s="8" t="s">
        <v>9000</v>
      </c>
      <c r="F1545" s="8" t="s">
        <v>4320</v>
      </c>
      <c r="G1545" s="6" t="s">
        <v>38</v>
      </c>
      <c r="H1545" s="6" t="s">
        <v>39</v>
      </c>
      <c r="I1545" s="8" t="s">
        <v>40</v>
      </c>
      <c r="J1545" s="9">
        <v>1</v>
      </c>
      <c r="K1545" s="9">
        <v>293</v>
      </c>
      <c r="L1545" s="9">
        <v>2023</v>
      </c>
      <c r="M1545" s="8" t="s">
        <v>9001</v>
      </c>
      <c r="N1545" s="8" t="s">
        <v>42</v>
      </c>
      <c r="O1545" s="8" t="s">
        <v>101</v>
      </c>
      <c r="P1545" s="6" t="s">
        <v>44</v>
      </c>
      <c r="Q1545" s="8" t="s">
        <v>45</v>
      </c>
      <c r="R1545" s="10" t="s">
        <v>9002</v>
      </c>
      <c r="S1545" s="11"/>
      <c r="T1545" s="6"/>
      <c r="U1545" s="24" t="str">
        <f>HYPERLINK("https://media.infra-m.ru/1898/1898824/cover/1898824.jpg", "Обложка")</f>
        <v>Обложка</v>
      </c>
      <c r="V1545" s="24" t="str">
        <f>HYPERLINK("https://znanium.ru/catalog/product/1898824", "Ознакомиться")</f>
        <v>Ознакомиться</v>
      </c>
      <c r="W1545" s="8" t="s">
        <v>4323</v>
      </c>
      <c r="X1545" s="6"/>
      <c r="Y1545" s="6"/>
      <c r="Z1545" s="6"/>
      <c r="AA1545" s="6" t="s">
        <v>76</v>
      </c>
      <c r="AB1545" s="8"/>
    </row>
    <row r="1546" spans="1:28" s="4" customFormat="1" ht="44.1" customHeight="1">
      <c r="A1546" s="5">
        <v>0</v>
      </c>
      <c r="B1546" s="6" t="s">
        <v>9003</v>
      </c>
      <c r="C1546" s="7">
        <v>1012.8</v>
      </c>
      <c r="D1546" s="8" t="s">
        <v>9004</v>
      </c>
      <c r="E1546" s="8" t="s">
        <v>9005</v>
      </c>
      <c r="F1546" s="8" t="s">
        <v>9006</v>
      </c>
      <c r="G1546" s="6" t="s">
        <v>81</v>
      </c>
      <c r="H1546" s="6" t="s">
        <v>99</v>
      </c>
      <c r="I1546" s="8"/>
      <c r="J1546" s="9">
        <v>1</v>
      </c>
      <c r="K1546" s="9">
        <v>168</v>
      </c>
      <c r="L1546" s="9">
        <v>2025</v>
      </c>
      <c r="M1546" s="8" t="s">
        <v>9007</v>
      </c>
      <c r="N1546" s="8" t="s">
        <v>42</v>
      </c>
      <c r="O1546" s="8" t="s">
        <v>101</v>
      </c>
      <c r="P1546" s="6" t="s">
        <v>44</v>
      </c>
      <c r="Q1546" s="8" t="s">
        <v>45</v>
      </c>
      <c r="R1546" s="10" t="s">
        <v>4271</v>
      </c>
      <c r="S1546" s="11"/>
      <c r="T1546" s="6"/>
      <c r="U1546" s="24" t="str">
        <f>HYPERLINK("https://media.infra-m.ru/2184/2184534/cover/2184534.jpg", "Обложка")</f>
        <v>Обложка</v>
      </c>
      <c r="V1546" s="24" t="str">
        <f>HYPERLINK("https://znanium.ru/catalog/product/1991044", "Ознакомиться")</f>
        <v>Ознакомиться</v>
      </c>
      <c r="W1546" s="8" t="s">
        <v>2281</v>
      </c>
      <c r="X1546" s="6"/>
      <c r="Y1546" s="6"/>
      <c r="Z1546" s="6"/>
      <c r="AA1546" s="6" t="s">
        <v>111</v>
      </c>
      <c r="AB1546" s="8"/>
    </row>
    <row r="1547" spans="1:28" s="4" customFormat="1" ht="42" customHeight="1">
      <c r="A1547" s="5">
        <v>0</v>
      </c>
      <c r="B1547" s="6" t="s">
        <v>9008</v>
      </c>
      <c r="C1547" s="7">
        <v>1680</v>
      </c>
      <c r="D1547" s="8" t="s">
        <v>9009</v>
      </c>
      <c r="E1547" s="8" t="s">
        <v>9010</v>
      </c>
      <c r="F1547" s="8" t="s">
        <v>1376</v>
      </c>
      <c r="G1547" s="6" t="s">
        <v>38</v>
      </c>
      <c r="H1547" s="6" t="s">
        <v>39</v>
      </c>
      <c r="I1547" s="8" t="s">
        <v>336</v>
      </c>
      <c r="J1547" s="9">
        <v>1</v>
      </c>
      <c r="K1547" s="9">
        <v>304</v>
      </c>
      <c r="L1547" s="9">
        <v>2024</v>
      </c>
      <c r="M1547" s="8" t="s">
        <v>9011</v>
      </c>
      <c r="N1547" s="8" t="s">
        <v>42</v>
      </c>
      <c r="O1547" s="8" t="s">
        <v>101</v>
      </c>
      <c r="P1547" s="6" t="s">
        <v>44</v>
      </c>
      <c r="Q1547" s="8" t="s">
        <v>45</v>
      </c>
      <c r="R1547" s="10" t="s">
        <v>2137</v>
      </c>
      <c r="S1547" s="11"/>
      <c r="T1547" s="6"/>
      <c r="U1547" s="24" t="str">
        <f>HYPERLINK("https://media.infra-m.ru/2125/2125840/cover/2125840.jpg", "Обложка")</f>
        <v>Обложка</v>
      </c>
      <c r="V1547" s="24" t="str">
        <f>HYPERLINK("https://znanium.ru/catalog/product/2125840", "Ознакомиться")</f>
        <v>Ознакомиться</v>
      </c>
      <c r="W1547" s="8" t="s">
        <v>103</v>
      </c>
      <c r="X1547" s="6"/>
      <c r="Y1547" s="6"/>
      <c r="Z1547" s="6"/>
      <c r="AA1547" s="6" t="s">
        <v>369</v>
      </c>
      <c r="AB1547" s="8"/>
    </row>
    <row r="1548" spans="1:28" s="4" customFormat="1" ht="51.95" customHeight="1">
      <c r="A1548" s="5">
        <v>0</v>
      </c>
      <c r="B1548" s="6" t="s">
        <v>9012</v>
      </c>
      <c r="C1548" s="7">
        <v>2392.8000000000002</v>
      </c>
      <c r="D1548" s="8" t="s">
        <v>9013</v>
      </c>
      <c r="E1548" s="8" t="s">
        <v>9014</v>
      </c>
      <c r="F1548" s="8" t="s">
        <v>9015</v>
      </c>
      <c r="G1548" s="6" t="s">
        <v>132</v>
      </c>
      <c r="H1548" s="6" t="s">
        <v>99</v>
      </c>
      <c r="I1548" s="8"/>
      <c r="J1548" s="9">
        <v>1</v>
      </c>
      <c r="K1548" s="9">
        <v>384</v>
      </c>
      <c r="L1548" s="9">
        <v>2026</v>
      </c>
      <c r="M1548" s="8" t="s">
        <v>9016</v>
      </c>
      <c r="N1548" s="8" t="s">
        <v>42</v>
      </c>
      <c r="O1548" s="8" t="s">
        <v>101</v>
      </c>
      <c r="P1548" s="6" t="s">
        <v>44</v>
      </c>
      <c r="Q1548" s="8" t="s">
        <v>45</v>
      </c>
      <c r="R1548" s="10" t="s">
        <v>9017</v>
      </c>
      <c r="S1548" s="11"/>
      <c r="T1548" s="6"/>
      <c r="U1548" s="24" t="str">
        <f>HYPERLINK("https://media.infra-m.ru/2221/2221074/cover/2221074.jpg", "Обложка")</f>
        <v>Обложка</v>
      </c>
      <c r="V1548" s="24" t="str">
        <f>HYPERLINK("https://znanium.ru/catalog/product/1092001", "Ознакомиться")</f>
        <v>Ознакомиться</v>
      </c>
      <c r="W1548" s="8" t="s">
        <v>391</v>
      </c>
      <c r="X1548" s="6"/>
      <c r="Y1548" s="6"/>
      <c r="Z1548" s="6"/>
      <c r="AA1548" s="6" t="s">
        <v>369</v>
      </c>
      <c r="AB1548" s="8"/>
    </row>
    <row r="1549" spans="1:28" s="4" customFormat="1" ht="42" customHeight="1">
      <c r="A1549" s="5">
        <v>0</v>
      </c>
      <c r="B1549" s="6" t="s">
        <v>9018</v>
      </c>
      <c r="C1549" s="7">
        <v>1740</v>
      </c>
      <c r="D1549" s="8" t="s">
        <v>9019</v>
      </c>
      <c r="E1549" s="8" t="s">
        <v>9020</v>
      </c>
      <c r="F1549" s="8" t="s">
        <v>9021</v>
      </c>
      <c r="G1549" s="6" t="s">
        <v>132</v>
      </c>
      <c r="H1549" s="6" t="s">
        <v>39</v>
      </c>
      <c r="I1549" s="8" t="s">
        <v>40</v>
      </c>
      <c r="J1549" s="9">
        <v>1</v>
      </c>
      <c r="K1549" s="9">
        <v>289</v>
      </c>
      <c r="L1549" s="9">
        <v>2025</v>
      </c>
      <c r="M1549" s="8" t="s">
        <v>9022</v>
      </c>
      <c r="N1549" s="8" t="s">
        <v>42</v>
      </c>
      <c r="O1549" s="8" t="s">
        <v>101</v>
      </c>
      <c r="P1549" s="6" t="s">
        <v>44</v>
      </c>
      <c r="Q1549" s="8" t="s">
        <v>45</v>
      </c>
      <c r="R1549" s="10" t="s">
        <v>2490</v>
      </c>
      <c r="S1549" s="11"/>
      <c r="T1549" s="6"/>
      <c r="U1549" s="24" t="str">
        <f>HYPERLINK("https://media.infra-m.ru/2133/2133681/cover/2133681.jpg", "Обложка")</f>
        <v>Обложка</v>
      </c>
      <c r="V1549" s="24" t="str">
        <f>HYPERLINK("https://znanium.ru/catalog/product/2133681", "Ознакомиться")</f>
        <v>Ознакомиться</v>
      </c>
      <c r="W1549" s="8" t="s">
        <v>9023</v>
      </c>
      <c r="X1549" s="6"/>
      <c r="Y1549" s="6"/>
      <c r="Z1549" s="6"/>
      <c r="AA1549" s="6" t="s">
        <v>159</v>
      </c>
      <c r="AB1549" s="8"/>
    </row>
    <row r="1550" spans="1:28" s="4" customFormat="1" ht="42" customHeight="1">
      <c r="A1550" s="5">
        <v>0</v>
      </c>
      <c r="B1550" s="6" t="s">
        <v>9024</v>
      </c>
      <c r="C1550" s="7">
        <v>1287.5999999999999</v>
      </c>
      <c r="D1550" s="8" t="s">
        <v>9025</v>
      </c>
      <c r="E1550" s="8" t="s">
        <v>9026</v>
      </c>
      <c r="F1550" s="8"/>
      <c r="G1550" s="6" t="s">
        <v>132</v>
      </c>
      <c r="H1550" s="6" t="s">
        <v>99</v>
      </c>
      <c r="I1550" s="8"/>
      <c r="J1550" s="9">
        <v>1</v>
      </c>
      <c r="K1550" s="9">
        <v>148</v>
      </c>
      <c r="L1550" s="9">
        <v>2023</v>
      </c>
      <c r="M1550" s="8" t="s">
        <v>9027</v>
      </c>
      <c r="N1550" s="8" t="s">
        <v>42</v>
      </c>
      <c r="O1550" s="8" t="s">
        <v>101</v>
      </c>
      <c r="P1550" s="6" t="s">
        <v>580</v>
      </c>
      <c r="Q1550" s="8" t="s">
        <v>45</v>
      </c>
      <c r="R1550" s="10" t="s">
        <v>269</v>
      </c>
      <c r="S1550" s="11"/>
      <c r="T1550" s="6"/>
      <c r="U1550" s="24" t="str">
        <f>HYPERLINK("https://media.infra-m.ru/2022/2022202/cover/2022202.jpg", "Обложка")</f>
        <v>Обложка</v>
      </c>
      <c r="V1550" s="24" t="str">
        <f>HYPERLINK("https://znanium.ru/catalog/product/2001620", "Ознакомиться")</f>
        <v>Ознакомиться</v>
      </c>
      <c r="W1550" s="8"/>
      <c r="X1550" s="6"/>
      <c r="Y1550" s="6"/>
      <c r="Z1550" s="6"/>
      <c r="AA1550" s="6" t="s">
        <v>119</v>
      </c>
      <c r="AB1550" s="8"/>
    </row>
    <row r="1551" spans="1:28" s="4" customFormat="1" ht="42" customHeight="1">
      <c r="A1551" s="5">
        <v>0</v>
      </c>
      <c r="B1551" s="6" t="s">
        <v>9028</v>
      </c>
      <c r="C1551" s="7">
        <v>2320.8000000000002</v>
      </c>
      <c r="D1551" s="8" t="s">
        <v>9029</v>
      </c>
      <c r="E1551" s="8" t="s">
        <v>9030</v>
      </c>
      <c r="F1551" s="8" t="s">
        <v>9031</v>
      </c>
      <c r="G1551" s="6" t="s">
        <v>132</v>
      </c>
      <c r="H1551" s="6" t="s">
        <v>99</v>
      </c>
      <c r="I1551" s="8"/>
      <c r="J1551" s="9">
        <v>1</v>
      </c>
      <c r="K1551" s="9">
        <v>352</v>
      </c>
      <c r="L1551" s="9">
        <v>2026</v>
      </c>
      <c r="M1551" s="8" t="s">
        <v>9032</v>
      </c>
      <c r="N1551" s="8" t="s">
        <v>42</v>
      </c>
      <c r="O1551" s="8" t="s">
        <v>101</v>
      </c>
      <c r="P1551" s="6" t="s">
        <v>44</v>
      </c>
      <c r="Q1551" s="8" t="s">
        <v>45</v>
      </c>
      <c r="R1551" s="10" t="s">
        <v>564</v>
      </c>
      <c r="S1551" s="11"/>
      <c r="T1551" s="6"/>
      <c r="U1551" s="24" t="str">
        <f>HYPERLINK("https://media.infra-m.ru/2229/2229669/cover/2229669.jpg", "Обложка")</f>
        <v>Обложка</v>
      </c>
      <c r="V1551" s="24" t="str">
        <f>HYPERLINK("https://znanium.ru/catalog/product/515344", "Ознакомиться")</f>
        <v>Ознакомиться</v>
      </c>
      <c r="W1551" s="8" t="s">
        <v>9033</v>
      </c>
      <c r="X1551" s="6"/>
      <c r="Y1551" s="6"/>
      <c r="Z1551" s="6"/>
      <c r="AA1551" s="6" t="s">
        <v>290</v>
      </c>
      <c r="AB1551" s="8"/>
    </row>
    <row r="1552" spans="1:28" s="4" customFormat="1" ht="42" customHeight="1">
      <c r="A1552" s="5">
        <v>0</v>
      </c>
      <c r="B1552" s="6" t="s">
        <v>9034</v>
      </c>
      <c r="C1552" s="7">
        <v>1277.9000000000001</v>
      </c>
      <c r="D1552" s="8" t="s">
        <v>9035</v>
      </c>
      <c r="E1552" s="8" t="s">
        <v>9036</v>
      </c>
      <c r="F1552" s="8" t="s">
        <v>6219</v>
      </c>
      <c r="G1552" s="6" t="s">
        <v>132</v>
      </c>
      <c r="H1552" s="6" t="s">
        <v>99</v>
      </c>
      <c r="I1552" s="8"/>
      <c r="J1552" s="9">
        <v>1</v>
      </c>
      <c r="K1552" s="9">
        <v>288</v>
      </c>
      <c r="L1552" s="9">
        <v>2021</v>
      </c>
      <c r="M1552" s="8" t="s">
        <v>9037</v>
      </c>
      <c r="N1552" s="8" t="s">
        <v>42</v>
      </c>
      <c r="O1552" s="8" t="s">
        <v>101</v>
      </c>
      <c r="P1552" s="6" t="s">
        <v>44</v>
      </c>
      <c r="Q1552" s="8" t="s">
        <v>45</v>
      </c>
      <c r="R1552" s="10" t="s">
        <v>2137</v>
      </c>
      <c r="S1552" s="11"/>
      <c r="T1552" s="6"/>
      <c r="U1552" s="24" t="str">
        <f>HYPERLINK("https://media.infra-m.ru/1221/1221171/cover/1221171.jpg", "Обложка")</f>
        <v>Обложка</v>
      </c>
      <c r="V1552" s="24" t="str">
        <f>HYPERLINK("https://znanium.ru/catalog/product/1221171", "Ознакомиться")</f>
        <v>Ознакомиться</v>
      </c>
      <c r="W1552" s="8" t="s">
        <v>565</v>
      </c>
      <c r="X1552" s="6"/>
      <c r="Y1552" s="6"/>
      <c r="Z1552" s="6"/>
      <c r="AA1552" s="6" t="s">
        <v>369</v>
      </c>
      <c r="AB1552" s="8"/>
    </row>
    <row r="1553" spans="1:28" s="4" customFormat="1" ht="42" customHeight="1">
      <c r="A1553" s="5">
        <v>0</v>
      </c>
      <c r="B1553" s="6" t="s">
        <v>9038</v>
      </c>
      <c r="C1553" s="7">
        <v>1132.8</v>
      </c>
      <c r="D1553" s="8" t="s">
        <v>9039</v>
      </c>
      <c r="E1553" s="8" t="s">
        <v>9040</v>
      </c>
      <c r="F1553" s="8" t="s">
        <v>9041</v>
      </c>
      <c r="G1553" s="6" t="s">
        <v>81</v>
      </c>
      <c r="H1553" s="6" t="s">
        <v>99</v>
      </c>
      <c r="I1553" s="8"/>
      <c r="J1553" s="9">
        <v>1</v>
      </c>
      <c r="K1553" s="9">
        <v>200</v>
      </c>
      <c r="L1553" s="9">
        <v>2024</v>
      </c>
      <c r="M1553" s="8" t="s">
        <v>9042</v>
      </c>
      <c r="N1553" s="8" t="s">
        <v>42</v>
      </c>
      <c r="O1553" s="8" t="s">
        <v>101</v>
      </c>
      <c r="P1553" s="6" t="s">
        <v>44</v>
      </c>
      <c r="Q1553" s="8" t="s">
        <v>45</v>
      </c>
      <c r="R1553" s="10" t="s">
        <v>632</v>
      </c>
      <c r="S1553" s="11"/>
      <c r="T1553" s="6"/>
      <c r="U1553" s="24" t="str">
        <f>HYPERLINK("https://media.infra-m.ru/2133/2133761/cover/2133761.jpg", "Обложка")</f>
        <v>Обложка</v>
      </c>
      <c r="V1553" s="24" t="str">
        <f>HYPERLINK("https://znanium.ru/catalog/product/1855605", "Ознакомиться")</f>
        <v>Ознакомиться</v>
      </c>
      <c r="W1553" s="8" t="s">
        <v>207</v>
      </c>
      <c r="X1553" s="6"/>
      <c r="Y1553" s="6"/>
      <c r="Z1553" s="6"/>
      <c r="AA1553" s="6" t="s">
        <v>199</v>
      </c>
      <c r="AB1553" s="8"/>
    </row>
    <row r="1554" spans="1:28" s="4" customFormat="1" ht="33" customHeight="1">
      <c r="A1554" s="5">
        <v>0</v>
      </c>
      <c r="B1554" s="6" t="s">
        <v>9043</v>
      </c>
      <c r="C1554" s="7">
        <v>2392.8000000000002</v>
      </c>
      <c r="D1554" s="8" t="s">
        <v>9044</v>
      </c>
      <c r="E1554" s="8" t="s">
        <v>9045</v>
      </c>
      <c r="F1554" s="8" t="s">
        <v>9046</v>
      </c>
      <c r="G1554" s="6" t="s">
        <v>132</v>
      </c>
      <c r="H1554" s="6" t="s">
        <v>2052</v>
      </c>
      <c r="I1554" s="8"/>
      <c r="J1554" s="9">
        <v>1</v>
      </c>
      <c r="K1554" s="9">
        <v>704</v>
      </c>
      <c r="L1554" s="9">
        <v>2024</v>
      </c>
      <c r="M1554" s="8"/>
      <c r="N1554" s="8" t="s">
        <v>42</v>
      </c>
      <c r="O1554" s="8" t="s">
        <v>101</v>
      </c>
      <c r="P1554" s="6" t="s">
        <v>44</v>
      </c>
      <c r="Q1554" s="8" t="s">
        <v>45</v>
      </c>
      <c r="R1554" s="10" t="s">
        <v>2137</v>
      </c>
      <c r="S1554" s="11"/>
      <c r="T1554" s="6"/>
      <c r="U1554" s="12"/>
      <c r="V1554" s="24" t="str">
        <f>HYPERLINK("https://znanium.ru/catalog/product/763682", "Ознакомиться")</f>
        <v>Ознакомиться</v>
      </c>
      <c r="W1554" s="8" t="s">
        <v>803</v>
      </c>
      <c r="X1554" s="6"/>
      <c r="Y1554" s="6"/>
      <c r="Z1554" s="6"/>
      <c r="AA1554" s="6" t="s">
        <v>48</v>
      </c>
      <c r="AB1554" s="8"/>
    </row>
    <row r="1555" spans="1:28" s="4" customFormat="1" ht="51.95" customHeight="1">
      <c r="A1555" s="5">
        <v>0</v>
      </c>
      <c r="B1555" s="6" t="s">
        <v>9047</v>
      </c>
      <c r="C1555" s="7">
        <v>2124</v>
      </c>
      <c r="D1555" s="8" t="s">
        <v>9048</v>
      </c>
      <c r="E1555" s="8" t="s">
        <v>9049</v>
      </c>
      <c r="F1555" s="8" t="s">
        <v>9050</v>
      </c>
      <c r="G1555" s="6" t="s">
        <v>81</v>
      </c>
      <c r="H1555" s="6" t="s">
        <v>99</v>
      </c>
      <c r="I1555" s="8"/>
      <c r="J1555" s="9">
        <v>1</v>
      </c>
      <c r="K1555" s="9">
        <v>384</v>
      </c>
      <c r="L1555" s="9">
        <v>2024</v>
      </c>
      <c r="M1555" s="8" t="s">
        <v>9051</v>
      </c>
      <c r="N1555" s="8" t="s">
        <v>42</v>
      </c>
      <c r="O1555" s="8" t="s">
        <v>101</v>
      </c>
      <c r="P1555" s="6" t="s">
        <v>44</v>
      </c>
      <c r="Q1555" s="8" t="s">
        <v>1152</v>
      </c>
      <c r="R1555" s="10" t="s">
        <v>9052</v>
      </c>
      <c r="S1555" s="11"/>
      <c r="T1555" s="6"/>
      <c r="U1555" s="24" t="str">
        <f>HYPERLINK("https://media.infra-m.ru/2119/2119930/cover/2119930.jpg", "Обложка")</f>
        <v>Обложка</v>
      </c>
      <c r="V1555" s="24" t="str">
        <f>HYPERLINK("https://znanium.ru/catalog/product/2119930", "Ознакомиться")</f>
        <v>Ознакомиться</v>
      </c>
      <c r="W1555" s="8" t="s">
        <v>191</v>
      </c>
      <c r="X1555" s="6"/>
      <c r="Y1555" s="6"/>
      <c r="Z1555" s="6"/>
      <c r="AA1555" s="6" t="s">
        <v>48</v>
      </c>
      <c r="AB1555" s="8"/>
    </row>
    <row r="1556" spans="1:28" s="4" customFormat="1" ht="51.95" customHeight="1">
      <c r="A1556" s="5">
        <v>0</v>
      </c>
      <c r="B1556" s="6" t="s">
        <v>9053</v>
      </c>
      <c r="C1556" s="7">
        <v>1068</v>
      </c>
      <c r="D1556" s="8" t="s">
        <v>9054</v>
      </c>
      <c r="E1556" s="8" t="s">
        <v>9055</v>
      </c>
      <c r="F1556" s="8" t="s">
        <v>9056</v>
      </c>
      <c r="G1556" s="6" t="s">
        <v>132</v>
      </c>
      <c r="H1556" s="6" t="s">
        <v>39</v>
      </c>
      <c r="I1556" s="8" t="s">
        <v>40</v>
      </c>
      <c r="J1556" s="9">
        <v>1</v>
      </c>
      <c r="K1556" s="9">
        <v>180</v>
      </c>
      <c r="L1556" s="9">
        <v>2023</v>
      </c>
      <c r="M1556" s="8" t="s">
        <v>9057</v>
      </c>
      <c r="N1556" s="8" t="s">
        <v>42</v>
      </c>
      <c r="O1556" s="8" t="s">
        <v>101</v>
      </c>
      <c r="P1556" s="6" t="s">
        <v>44</v>
      </c>
      <c r="Q1556" s="8" t="s">
        <v>45</v>
      </c>
      <c r="R1556" s="10" t="s">
        <v>9058</v>
      </c>
      <c r="S1556" s="11"/>
      <c r="T1556" s="6"/>
      <c r="U1556" s="24" t="str">
        <f>HYPERLINK("https://media.infra-m.ru/1911/1911711/cover/1911711.jpg", "Обложка")</f>
        <v>Обложка</v>
      </c>
      <c r="V1556" s="24" t="str">
        <f>HYPERLINK("https://znanium.ru/catalog/product/1911711", "Ознакомиться")</f>
        <v>Ознакомиться</v>
      </c>
      <c r="W1556" s="8" t="s">
        <v>8933</v>
      </c>
      <c r="X1556" s="6"/>
      <c r="Y1556" s="6"/>
      <c r="Z1556" s="6"/>
      <c r="AA1556" s="6" t="s">
        <v>119</v>
      </c>
      <c r="AB1556" s="8"/>
    </row>
    <row r="1557" spans="1:28" s="4" customFormat="1" ht="51.95" customHeight="1">
      <c r="A1557" s="5">
        <v>0</v>
      </c>
      <c r="B1557" s="6" t="s">
        <v>9059</v>
      </c>
      <c r="C1557" s="7">
        <v>1252.8</v>
      </c>
      <c r="D1557" s="8" t="s">
        <v>9060</v>
      </c>
      <c r="E1557" s="8" t="s">
        <v>9061</v>
      </c>
      <c r="F1557" s="8" t="s">
        <v>9062</v>
      </c>
      <c r="G1557" s="6" t="s">
        <v>38</v>
      </c>
      <c r="H1557" s="6" t="s">
        <v>39</v>
      </c>
      <c r="I1557" s="8" t="s">
        <v>40</v>
      </c>
      <c r="J1557" s="9">
        <v>1</v>
      </c>
      <c r="K1557" s="9">
        <v>209</v>
      </c>
      <c r="L1557" s="9">
        <v>2025</v>
      </c>
      <c r="M1557" s="8" t="s">
        <v>9063</v>
      </c>
      <c r="N1557" s="8" t="s">
        <v>42</v>
      </c>
      <c r="O1557" s="8" t="s">
        <v>101</v>
      </c>
      <c r="P1557" s="6" t="s">
        <v>44</v>
      </c>
      <c r="Q1557" s="8" t="s">
        <v>45</v>
      </c>
      <c r="R1557" s="10" t="s">
        <v>9064</v>
      </c>
      <c r="S1557" s="11"/>
      <c r="T1557" s="6"/>
      <c r="U1557" s="24" t="str">
        <f>HYPERLINK("https://media.infra-m.ru/2160/2160590/cover/2160590.jpg", "Обложка")</f>
        <v>Обложка</v>
      </c>
      <c r="V1557" s="24" t="str">
        <f>HYPERLINK("https://znanium.ru/catalog/product/2160590", "Ознакомиться")</f>
        <v>Ознакомиться</v>
      </c>
      <c r="W1557" s="8" t="s">
        <v>223</v>
      </c>
      <c r="X1557" s="6"/>
      <c r="Y1557" s="6"/>
      <c r="Z1557" s="6"/>
      <c r="AA1557" s="6" t="s">
        <v>48</v>
      </c>
      <c r="AB1557" s="8"/>
    </row>
    <row r="1558" spans="1:28" s="4" customFormat="1" ht="51.95" customHeight="1">
      <c r="A1558" s="5">
        <v>0</v>
      </c>
      <c r="B1558" s="6" t="s">
        <v>9065</v>
      </c>
      <c r="C1558" s="7">
        <v>1308</v>
      </c>
      <c r="D1558" s="8" t="s">
        <v>9066</v>
      </c>
      <c r="E1558" s="8" t="s">
        <v>9067</v>
      </c>
      <c r="F1558" s="8" t="s">
        <v>9068</v>
      </c>
      <c r="G1558" s="6" t="s">
        <v>81</v>
      </c>
      <c r="H1558" s="6" t="s">
        <v>39</v>
      </c>
      <c r="I1558" s="8" t="s">
        <v>40</v>
      </c>
      <c r="J1558" s="9">
        <v>1</v>
      </c>
      <c r="K1558" s="9">
        <v>280</v>
      </c>
      <c r="L1558" s="9">
        <v>2022</v>
      </c>
      <c r="M1558" s="8" t="s">
        <v>9069</v>
      </c>
      <c r="N1558" s="8" t="s">
        <v>42</v>
      </c>
      <c r="O1558" s="8" t="s">
        <v>101</v>
      </c>
      <c r="P1558" s="6" t="s">
        <v>44</v>
      </c>
      <c r="Q1558" s="8" t="s">
        <v>45</v>
      </c>
      <c r="R1558" s="10" t="s">
        <v>9070</v>
      </c>
      <c r="S1558" s="11"/>
      <c r="T1558" s="6"/>
      <c r="U1558" s="24" t="str">
        <f>HYPERLINK("https://media.infra-m.ru/1860/1860853/cover/1860853.jpg", "Обложка")</f>
        <v>Обложка</v>
      </c>
      <c r="V1558" s="24" t="str">
        <f>HYPERLINK("https://znanium.ru/catalog/product/1860853", "Ознакомиться")</f>
        <v>Ознакомиться</v>
      </c>
      <c r="W1558" s="8" t="s">
        <v>3715</v>
      </c>
      <c r="X1558" s="6"/>
      <c r="Y1558" s="6"/>
      <c r="Z1558" s="6"/>
      <c r="AA1558" s="6" t="s">
        <v>76</v>
      </c>
      <c r="AB1558" s="8"/>
    </row>
    <row r="1559" spans="1:28" s="4" customFormat="1" ht="42" customHeight="1">
      <c r="A1559" s="5">
        <v>0</v>
      </c>
      <c r="B1559" s="6" t="s">
        <v>9071</v>
      </c>
      <c r="C1559" s="7">
        <v>1104</v>
      </c>
      <c r="D1559" s="8" t="s">
        <v>9072</v>
      </c>
      <c r="E1559" s="8" t="s">
        <v>9073</v>
      </c>
      <c r="F1559" s="8" t="s">
        <v>9074</v>
      </c>
      <c r="G1559" s="6" t="s">
        <v>81</v>
      </c>
      <c r="H1559" s="6" t="s">
        <v>39</v>
      </c>
      <c r="I1559" s="8" t="s">
        <v>336</v>
      </c>
      <c r="J1559" s="9">
        <v>1</v>
      </c>
      <c r="K1559" s="9">
        <v>240</v>
      </c>
      <c r="L1559" s="9">
        <v>2021</v>
      </c>
      <c r="M1559" s="8" t="s">
        <v>9075</v>
      </c>
      <c r="N1559" s="8" t="s">
        <v>42</v>
      </c>
      <c r="O1559" s="8" t="s">
        <v>101</v>
      </c>
      <c r="P1559" s="6" t="s">
        <v>44</v>
      </c>
      <c r="Q1559" s="8" t="s">
        <v>45</v>
      </c>
      <c r="R1559" s="10" t="s">
        <v>874</v>
      </c>
      <c r="S1559" s="11"/>
      <c r="T1559" s="6"/>
      <c r="U1559" s="24" t="str">
        <f>HYPERLINK("https://media.infra-m.ru/1362/1362124/cover/1362124.jpg", "Обложка")</f>
        <v>Обложка</v>
      </c>
      <c r="V1559" s="24" t="str">
        <f>HYPERLINK("https://znanium.ru/catalog/product/1362124", "Ознакомиться")</f>
        <v>Ознакомиться</v>
      </c>
      <c r="W1559" s="8" t="s">
        <v>103</v>
      </c>
      <c r="X1559" s="6"/>
      <c r="Y1559" s="6"/>
      <c r="Z1559" s="6"/>
      <c r="AA1559" s="6" t="s">
        <v>76</v>
      </c>
      <c r="AB1559" s="8"/>
    </row>
    <row r="1560" spans="1:28" s="4" customFormat="1" ht="42" customHeight="1">
      <c r="A1560" s="5">
        <v>0</v>
      </c>
      <c r="B1560" s="6" t="s">
        <v>9076</v>
      </c>
      <c r="C1560" s="7">
        <v>1169.9000000000001</v>
      </c>
      <c r="D1560" s="8" t="s">
        <v>9077</v>
      </c>
      <c r="E1560" s="8" t="s">
        <v>9078</v>
      </c>
      <c r="F1560" s="8" t="s">
        <v>9079</v>
      </c>
      <c r="G1560" s="6" t="s">
        <v>132</v>
      </c>
      <c r="H1560" s="6" t="s">
        <v>99</v>
      </c>
      <c r="I1560" s="8"/>
      <c r="J1560" s="9">
        <v>1</v>
      </c>
      <c r="K1560" s="9">
        <v>288</v>
      </c>
      <c r="L1560" s="9">
        <v>2019</v>
      </c>
      <c r="M1560" s="8" t="s">
        <v>9080</v>
      </c>
      <c r="N1560" s="8" t="s">
        <v>42</v>
      </c>
      <c r="O1560" s="8" t="s">
        <v>101</v>
      </c>
      <c r="P1560" s="6" t="s">
        <v>44</v>
      </c>
      <c r="Q1560" s="8" t="s">
        <v>45</v>
      </c>
      <c r="R1560" s="10" t="s">
        <v>874</v>
      </c>
      <c r="S1560" s="11"/>
      <c r="T1560" s="6"/>
      <c r="U1560" s="24" t="str">
        <f>HYPERLINK("https://media.infra-m.ru/1011/1011094/cover/1011094.jpg", "Обложка")</f>
        <v>Обложка</v>
      </c>
      <c r="V1560" s="24" t="str">
        <f>HYPERLINK("https://znanium.ru/catalog/product/1011094", "Ознакомиться")</f>
        <v>Ознакомиться</v>
      </c>
      <c r="W1560" s="8" t="s">
        <v>191</v>
      </c>
      <c r="X1560" s="6"/>
      <c r="Y1560" s="6"/>
      <c r="Z1560" s="6"/>
      <c r="AA1560" s="6" t="s">
        <v>369</v>
      </c>
      <c r="AB1560" s="8"/>
    </row>
    <row r="1561" spans="1:28" s="4" customFormat="1" ht="51.95" customHeight="1">
      <c r="A1561" s="5">
        <v>0</v>
      </c>
      <c r="B1561" s="6" t="s">
        <v>9081</v>
      </c>
      <c r="C1561" s="7">
        <v>1416</v>
      </c>
      <c r="D1561" s="8" t="s">
        <v>9082</v>
      </c>
      <c r="E1561" s="8" t="s">
        <v>9083</v>
      </c>
      <c r="F1561" s="8" t="s">
        <v>9084</v>
      </c>
      <c r="G1561" s="6" t="s">
        <v>132</v>
      </c>
      <c r="H1561" s="6" t="s">
        <v>39</v>
      </c>
      <c r="I1561" s="8" t="s">
        <v>40</v>
      </c>
      <c r="J1561" s="9">
        <v>1</v>
      </c>
      <c r="K1561" s="9">
        <v>215</v>
      </c>
      <c r="L1561" s="9">
        <v>2025</v>
      </c>
      <c r="M1561" s="8" t="s">
        <v>9085</v>
      </c>
      <c r="N1561" s="8" t="s">
        <v>42</v>
      </c>
      <c r="O1561" s="8" t="s">
        <v>101</v>
      </c>
      <c r="P1561" s="6" t="s">
        <v>44</v>
      </c>
      <c r="Q1561" s="8" t="s">
        <v>45</v>
      </c>
      <c r="R1561" s="10" t="s">
        <v>9086</v>
      </c>
      <c r="S1561" s="11"/>
      <c r="T1561" s="6"/>
      <c r="U1561" s="24" t="str">
        <f>HYPERLINK("https://media.infra-m.ru/2209/2209356/cover/2209356.jpg", "Обложка")</f>
        <v>Обложка</v>
      </c>
      <c r="V1561" s="24" t="str">
        <f>HYPERLINK("https://znanium.ru/catalog/product/2209356", "Ознакомиться")</f>
        <v>Ознакомиться</v>
      </c>
      <c r="W1561" s="8" t="s">
        <v>516</v>
      </c>
      <c r="X1561" s="6" t="s">
        <v>832</v>
      </c>
      <c r="Y1561" s="6"/>
      <c r="Z1561" s="6"/>
      <c r="AA1561" s="6" t="s">
        <v>159</v>
      </c>
      <c r="AB1561" s="8"/>
    </row>
    <row r="1562" spans="1:28" s="4" customFormat="1" ht="51.95" customHeight="1">
      <c r="A1562" s="5">
        <v>0</v>
      </c>
      <c r="B1562" s="6" t="s">
        <v>9087</v>
      </c>
      <c r="C1562" s="13">
        <v>612</v>
      </c>
      <c r="D1562" s="8" t="s">
        <v>9088</v>
      </c>
      <c r="E1562" s="8" t="s">
        <v>9089</v>
      </c>
      <c r="F1562" s="8" t="s">
        <v>9090</v>
      </c>
      <c r="G1562" s="6" t="s">
        <v>38</v>
      </c>
      <c r="H1562" s="6" t="s">
        <v>99</v>
      </c>
      <c r="I1562" s="8"/>
      <c r="J1562" s="9">
        <v>1</v>
      </c>
      <c r="K1562" s="9">
        <v>96</v>
      </c>
      <c r="L1562" s="9">
        <v>2024</v>
      </c>
      <c r="M1562" s="8" t="s">
        <v>9091</v>
      </c>
      <c r="N1562" s="8" t="s">
        <v>42</v>
      </c>
      <c r="O1562" s="8" t="s">
        <v>101</v>
      </c>
      <c r="P1562" s="6" t="s">
        <v>44</v>
      </c>
      <c r="Q1562" s="8" t="s">
        <v>1152</v>
      </c>
      <c r="R1562" s="10" t="s">
        <v>9092</v>
      </c>
      <c r="S1562" s="11"/>
      <c r="T1562" s="6"/>
      <c r="U1562" s="24" t="str">
        <f>HYPERLINK("https://media.infra-m.ru/2136/2136105/cover/2136105.jpg", "Обложка")</f>
        <v>Обложка</v>
      </c>
      <c r="V1562" s="24" t="str">
        <f>HYPERLINK("https://znanium.ru/catalog/product/1854737", "Ознакомиться")</f>
        <v>Ознакомиться</v>
      </c>
      <c r="W1562" s="8" t="s">
        <v>418</v>
      </c>
      <c r="X1562" s="6"/>
      <c r="Y1562" s="6"/>
      <c r="Z1562" s="6"/>
      <c r="AA1562" s="6" t="s">
        <v>339</v>
      </c>
      <c r="AB1562" s="8"/>
    </row>
    <row r="1563" spans="1:28" s="4" customFormat="1" ht="51.95" customHeight="1">
      <c r="A1563" s="5">
        <v>0</v>
      </c>
      <c r="B1563" s="6" t="s">
        <v>9093</v>
      </c>
      <c r="C1563" s="13">
        <v>684</v>
      </c>
      <c r="D1563" s="8" t="s">
        <v>9094</v>
      </c>
      <c r="E1563" s="8" t="s">
        <v>9095</v>
      </c>
      <c r="F1563" s="8" t="s">
        <v>9096</v>
      </c>
      <c r="G1563" s="6" t="s">
        <v>38</v>
      </c>
      <c r="H1563" s="6" t="s">
        <v>39</v>
      </c>
      <c r="I1563" s="8" t="s">
        <v>40</v>
      </c>
      <c r="J1563" s="9">
        <v>1</v>
      </c>
      <c r="K1563" s="9">
        <v>138</v>
      </c>
      <c r="L1563" s="9">
        <v>2021</v>
      </c>
      <c r="M1563" s="8" t="s">
        <v>9097</v>
      </c>
      <c r="N1563" s="8" t="s">
        <v>42</v>
      </c>
      <c r="O1563" s="8" t="s">
        <v>101</v>
      </c>
      <c r="P1563" s="6" t="s">
        <v>44</v>
      </c>
      <c r="Q1563" s="8" t="s">
        <v>45</v>
      </c>
      <c r="R1563" s="10" t="s">
        <v>9098</v>
      </c>
      <c r="S1563" s="11"/>
      <c r="T1563" s="6"/>
      <c r="U1563" s="24" t="str">
        <f>HYPERLINK("https://media.infra-m.ru/1290/1290966/cover/1290966.jpg", "Обложка")</f>
        <v>Обложка</v>
      </c>
      <c r="V1563" s="24" t="str">
        <f>HYPERLINK("https://znanium.ru/catalog/product/1290966", "Ознакомиться")</f>
        <v>Ознакомиться</v>
      </c>
      <c r="W1563" s="8" t="s">
        <v>167</v>
      </c>
      <c r="X1563" s="6"/>
      <c r="Y1563" s="6"/>
      <c r="Z1563" s="6"/>
      <c r="AA1563" s="6" t="s">
        <v>76</v>
      </c>
      <c r="AB1563" s="8"/>
    </row>
    <row r="1564" spans="1:28" s="4" customFormat="1" ht="42" customHeight="1">
      <c r="A1564" s="5">
        <v>0</v>
      </c>
      <c r="B1564" s="6" t="s">
        <v>9099</v>
      </c>
      <c r="C1564" s="7">
        <v>1476</v>
      </c>
      <c r="D1564" s="8" t="s">
        <v>9100</v>
      </c>
      <c r="E1564" s="8" t="s">
        <v>9101</v>
      </c>
      <c r="F1564" s="8" t="s">
        <v>9102</v>
      </c>
      <c r="G1564" s="6" t="s">
        <v>38</v>
      </c>
      <c r="H1564" s="6" t="s">
        <v>39</v>
      </c>
      <c r="I1564" s="8" t="s">
        <v>336</v>
      </c>
      <c r="J1564" s="9">
        <v>1</v>
      </c>
      <c r="K1564" s="9">
        <v>272</v>
      </c>
      <c r="L1564" s="9">
        <v>2023</v>
      </c>
      <c r="M1564" s="8" t="s">
        <v>9103</v>
      </c>
      <c r="N1564" s="8" t="s">
        <v>42</v>
      </c>
      <c r="O1564" s="8" t="s">
        <v>101</v>
      </c>
      <c r="P1564" s="6" t="s">
        <v>44</v>
      </c>
      <c r="Q1564" s="8" t="s">
        <v>45</v>
      </c>
      <c r="R1564" s="10" t="s">
        <v>2946</v>
      </c>
      <c r="S1564" s="11"/>
      <c r="T1564" s="6"/>
      <c r="U1564" s="24" t="str">
        <f>HYPERLINK("https://media.infra-m.ru/2029/2029816/cover/2029816.jpg", "Обложка")</f>
        <v>Обложка</v>
      </c>
      <c r="V1564" s="24" t="str">
        <f>HYPERLINK("https://znanium.ru/catalog/product/2029816", "Ознакомиться")</f>
        <v>Ознакомиться</v>
      </c>
      <c r="W1564" s="8" t="s">
        <v>103</v>
      </c>
      <c r="X1564" s="6"/>
      <c r="Y1564" s="6"/>
      <c r="Z1564" s="6"/>
      <c r="AA1564" s="6" t="s">
        <v>339</v>
      </c>
      <c r="AB1564" s="8"/>
    </row>
    <row r="1565" spans="1:28" s="4" customFormat="1" ht="51.95" customHeight="1">
      <c r="A1565" s="5">
        <v>0</v>
      </c>
      <c r="B1565" s="6" t="s">
        <v>9104</v>
      </c>
      <c r="C1565" s="13">
        <v>768</v>
      </c>
      <c r="D1565" s="8" t="s">
        <v>9105</v>
      </c>
      <c r="E1565" s="8" t="s">
        <v>9106</v>
      </c>
      <c r="F1565" s="8" t="s">
        <v>9107</v>
      </c>
      <c r="G1565" s="6" t="s">
        <v>38</v>
      </c>
      <c r="H1565" s="6" t="s">
        <v>39</v>
      </c>
      <c r="I1565" s="8" t="s">
        <v>40</v>
      </c>
      <c r="J1565" s="9">
        <v>1</v>
      </c>
      <c r="K1565" s="9">
        <v>128</v>
      </c>
      <c r="L1565" s="9">
        <v>2023</v>
      </c>
      <c r="M1565" s="8" t="s">
        <v>9108</v>
      </c>
      <c r="N1565" s="8" t="s">
        <v>42</v>
      </c>
      <c r="O1565" s="8" t="s">
        <v>101</v>
      </c>
      <c r="P1565" s="6" t="s">
        <v>44</v>
      </c>
      <c r="Q1565" s="8" t="s">
        <v>45</v>
      </c>
      <c r="R1565" s="10" t="s">
        <v>9109</v>
      </c>
      <c r="S1565" s="11"/>
      <c r="T1565" s="6"/>
      <c r="U1565" s="24" t="str">
        <f>HYPERLINK("https://media.infra-m.ru/1948/1948196/cover/1948196.jpg", "Обложка")</f>
        <v>Обложка</v>
      </c>
      <c r="V1565" s="24" t="str">
        <f>HYPERLINK("https://znanium.ru/catalog/product/1948196", "Ознакомиться")</f>
        <v>Ознакомиться</v>
      </c>
      <c r="W1565" s="8" t="s">
        <v>9110</v>
      </c>
      <c r="X1565" s="6"/>
      <c r="Y1565" s="6"/>
      <c r="Z1565" s="6"/>
      <c r="AA1565" s="6" t="s">
        <v>119</v>
      </c>
      <c r="AB1565" s="8"/>
    </row>
    <row r="1566" spans="1:28" s="4" customFormat="1" ht="44.1" customHeight="1">
      <c r="A1566" s="5">
        <v>0</v>
      </c>
      <c r="B1566" s="6" t="s">
        <v>9111</v>
      </c>
      <c r="C1566" s="7">
        <v>1644</v>
      </c>
      <c r="D1566" s="8" t="s">
        <v>9112</v>
      </c>
      <c r="E1566" s="8" t="s">
        <v>9113</v>
      </c>
      <c r="F1566" s="8" t="s">
        <v>9114</v>
      </c>
      <c r="G1566" s="6" t="s">
        <v>81</v>
      </c>
      <c r="H1566" s="6" t="s">
        <v>39</v>
      </c>
      <c r="I1566" s="8" t="s">
        <v>336</v>
      </c>
      <c r="J1566" s="9">
        <v>1</v>
      </c>
      <c r="K1566" s="9">
        <v>248</v>
      </c>
      <c r="L1566" s="9">
        <v>2026</v>
      </c>
      <c r="M1566" s="8" t="s">
        <v>9115</v>
      </c>
      <c r="N1566" s="8" t="s">
        <v>42</v>
      </c>
      <c r="O1566" s="8" t="s">
        <v>101</v>
      </c>
      <c r="P1566" s="6" t="s">
        <v>44</v>
      </c>
      <c r="Q1566" s="8" t="s">
        <v>45</v>
      </c>
      <c r="R1566" s="10" t="s">
        <v>9116</v>
      </c>
      <c r="S1566" s="11"/>
      <c r="T1566" s="6"/>
      <c r="U1566" s="24" t="str">
        <f>HYPERLINK("https://media.infra-m.ru/2231/2231098/cover/2231098.jpg", "Обложка")</f>
        <v>Обложка</v>
      </c>
      <c r="V1566" s="24" t="str">
        <f>HYPERLINK("https://znanium.ru/catalog/product/2231098", "Ознакомиться")</f>
        <v>Ознакомиться</v>
      </c>
      <c r="W1566" s="8" t="s">
        <v>103</v>
      </c>
      <c r="X1566" s="6"/>
      <c r="Y1566" s="6"/>
      <c r="Z1566" s="6"/>
      <c r="AA1566" s="6" t="s">
        <v>159</v>
      </c>
      <c r="AB1566" s="8"/>
    </row>
    <row r="1567" spans="1:28" s="4" customFormat="1" ht="42" customHeight="1">
      <c r="A1567" s="5">
        <v>0</v>
      </c>
      <c r="B1567" s="6" t="s">
        <v>9117</v>
      </c>
      <c r="C1567" s="7">
        <v>1200</v>
      </c>
      <c r="D1567" s="8" t="s">
        <v>9118</v>
      </c>
      <c r="E1567" s="8" t="s">
        <v>9119</v>
      </c>
      <c r="F1567" s="8" t="s">
        <v>9120</v>
      </c>
      <c r="G1567" s="6" t="s">
        <v>38</v>
      </c>
      <c r="H1567" s="6" t="s">
        <v>39</v>
      </c>
      <c r="I1567" s="8" t="s">
        <v>40</v>
      </c>
      <c r="J1567" s="9">
        <v>1</v>
      </c>
      <c r="K1567" s="9">
        <v>212</v>
      </c>
      <c r="L1567" s="9">
        <v>2024</v>
      </c>
      <c r="M1567" s="8" t="s">
        <v>9121</v>
      </c>
      <c r="N1567" s="8" t="s">
        <v>42</v>
      </c>
      <c r="O1567" s="8" t="s">
        <v>101</v>
      </c>
      <c r="P1567" s="6" t="s">
        <v>44</v>
      </c>
      <c r="Q1567" s="8" t="s">
        <v>45</v>
      </c>
      <c r="R1567" s="10" t="s">
        <v>874</v>
      </c>
      <c r="S1567" s="11"/>
      <c r="T1567" s="6"/>
      <c r="U1567" s="24" t="str">
        <f>HYPERLINK("https://media.infra-m.ru/2124/2124791/cover/2124791.jpg", "Обложка")</f>
        <v>Обложка</v>
      </c>
      <c r="V1567" s="24" t="str">
        <f>HYPERLINK("https://znanium.ru/catalog/product/2124791", "Ознакомиться")</f>
        <v>Ознакомиться</v>
      </c>
      <c r="W1567" s="8" t="s">
        <v>305</v>
      </c>
      <c r="X1567" s="6"/>
      <c r="Y1567" s="6"/>
      <c r="Z1567" s="6"/>
      <c r="AA1567" s="6" t="s">
        <v>168</v>
      </c>
      <c r="AB1567" s="8"/>
    </row>
    <row r="1568" spans="1:28" s="4" customFormat="1" ht="44.1" customHeight="1">
      <c r="A1568" s="5">
        <v>0</v>
      </c>
      <c r="B1568" s="6" t="s">
        <v>9122</v>
      </c>
      <c r="C1568" s="7">
        <v>1084.8</v>
      </c>
      <c r="D1568" s="8" t="s">
        <v>9123</v>
      </c>
      <c r="E1568" s="8" t="s">
        <v>9124</v>
      </c>
      <c r="F1568" s="8" t="s">
        <v>9125</v>
      </c>
      <c r="G1568" s="6" t="s">
        <v>38</v>
      </c>
      <c r="H1568" s="6" t="s">
        <v>39</v>
      </c>
      <c r="I1568" s="8" t="s">
        <v>40</v>
      </c>
      <c r="J1568" s="9">
        <v>1</v>
      </c>
      <c r="K1568" s="9">
        <v>174</v>
      </c>
      <c r="L1568" s="9">
        <v>2026</v>
      </c>
      <c r="M1568" s="8" t="s">
        <v>9126</v>
      </c>
      <c r="N1568" s="8" t="s">
        <v>229</v>
      </c>
      <c r="O1568" s="8" t="s">
        <v>230</v>
      </c>
      <c r="P1568" s="6" t="s">
        <v>44</v>
      </c>
      <c r="Q1568" s="8" t="s">
        <v>45</v>
      </c>
      <c r="R1568" s="10" t="s">
        <v>9127</v>
      </c>
      <c r="S1568" s="11"/>
      <c r="T1568" s="6"/>
      <c r="U1568" s="24" t="str">
        <f>HYPERLINK("https://media.infra-m.ru/2219/2219046/cover/2219046.jpg", "Обложка")</f>
        <v>Обложка</v>
      </c>
      <c r="V1568" s="24" t="str">
        <f>HYPERLINK("https://znanium.ru/catalog/product/1008846", "Ознакомиться")</f>
        <v>Ознакомиться</v>
      </c>
      <c r="W1568" s="8" t="s">
        <v>937</v>
      </c>
      <c r="X1568" s="6"/>
      <c r="Y1568" s="6"/>
      <c r="Z1568" s="6"/>
      <c r="AA1568" s="6" t="s">
        <v>76</v>
      </c>
      <c r="AB1568" s="8"/>
    </row>
    <row r="1569" spans="1:28" s="4" customFormat="1" ht="51.95" customHeight="1">
      <c r="A1569" s="5">
        <v>0</v>
      </c>
      <c r="B1569" s="6" t="s">
        <v>9128</v>
      </c>
      <c r="C1569" s="13">
        <v>868.8</v>
      </c>
      <c r="D1569" s="8" t="s">
        <v>9129</v>
      </c>
      <c r="E1569" s="8" t="s">
        <v>9130</v>
      </c>
      <c r="F1569" s="8" t="s">
        <v>9131</v>
      </c>
      <c r="G1569" s="6" t="s">
        <v>38</v>
      </c>
      <c r="H1569" s="6" t="s">
        <v>39</v>
      </c>
      <c r="I1569" s="8" t="s">
        <v>164</v>
      </c>
      <c r="J1569" s="9">
        <v>1</v>
      </c>
      <c r="K1569" s="9">
        <v>154</v>
      </c>
      <c r="L1569" s="9">
        <v>2024</v>
      </c>
      <c r="M1569" s="8" t="s">
        <v>9132</v>
      </c>
      <c r="N1569" s="8" t="s">
        <v>42</v>
      </c>
      <c r="O1569" s="8" t="s">
        <v>1035</v>
      </c>
      <c r="P1569" s="6" t="s">
        <v>44</v>
      </c>
      <c r="Q1569" s="8" t="s">
        <v>45</v>
      </c>
      <c r="R1569" s="10" t="s">
        <v>9133</v>
      </c>
      <c r="S1569" s="11"/>
      <c r="T1569" s="6" t="s">
        <v>1080</v>
      </c>
      <c r="U1569" s="24" t="str">
        <f>HYPERLINK("https://media.infra-m.ru/2136/2136021/cover/2136021.jpg", "Обложка")</f>
        <v>Обложка</v>
      </c>
      <c r="V1569" s="24" t="str">
        <f>HYPERLINK("https://znanium.ru/catalog/product/2052442", "Ознакомиться")</f>
        <v>Ознакомиться</v>
      </c>
      <c r="W1569" s="8" t="s">
        <v>167</v>
      </c>
      <c r="X1569" s="6"/>
      <c r="Y1569" s="6"/>
      <c r="Z1569" s="6"/>
      <c r="AA1569" s="6" t="s">
        <v>76</v>
      </c>
      <c r="AB1569" s="8"/>
    </row>
    <row r="1570" spans="1:28" s="4" customFormat="1" ht="44.1" customHeight="1">
      <c r="A1570" s="5">
        <v>0</v>
      </c>
      <c r="B1570" s="6" t="s">
        <v>9134</v>
      </c>
      <c r="C1570" s="7">
        <v>1644</v>
      </c>
      <c r="D1570" s="8" t="s">
        <v>9135</v>
      </c>
      <c r="E1570" s="8" t="s">
        <v>9136</v>
      </c>
      <c r="F1570" s="8" t="s">
        <v>9137</v>
      </c>
      <c r="G1570" s="6" t="s">
        <v>81</v>
      </c>
      <c r="H1570" s="6" t="s">
        <v>39</v>
      </c>
      <c r="I1570" s="8" t="s">
        <v>336</v>
      </c>
      <c r="J1570" s="9">
        <v>1</v>
      </c>
      <c r="K1570" s="9">
        <v>304</v>
      </c>
      <c r="L1570" s="9">
        <v>2023</v>
      </c>
      <c r="M1570" s="8" t="s">
        <v>9138</v>
      </c>
      <c r="N1570" s="8" t="s">
        <v>42</v>
      </c>
      <c r="O1570" s="8" t="s">
        <v>101</v>
      </c>
      <c r="P1570" s="6" t="s">
        <v>44</v>
      </c>
      <c r="Q1570" s="8" t="s">
        <v>45</v>
      </c>
      <c r="R1570" s="10" t="s">
        <v>3738</v>
      </c>
      <c r="S1570" s="11"/>
      <c r="T1570" s="6"/>
      <c r="U1570" s="24" t="str">
        <f>HYPERLINK("https://media.infra-m.ru/1964/1964967/cover/1964967.jpg", "Обложка")</f>
        <v>Обложка</v>
      </c>
      <c r="V1570" s="24" t="str">
        <f>HYPERLINK("https://znanium.ru/catalog/product/1964967", "Ознакомиться")</f>
        <v>Ознакомиться</v>
      </c>
      <c r="W1570" s="8" t="s">
        <v>9139</v>
      </c>
      <c r="X1570" s="6"/>
      <c r="Y1570" s="6"/>
      <c r="Z1570" s="6"/>
      <c r="AA1570" s="6" t="s">
        <v>76</v>
      </c>
      <c r="AB1570" s="8" t="s">
        <v>3455</v>
      </c>
    </row>
    <row r="1571" spans="1:28" s="4" customFormat="1" ht="42" customHeight="1">
      <c r="A1571" s="5">
        <v>0</v>
      </c>
      <c r="B1571" s="6" t="s">
        <v>9140</v>
      </c>
      <c r="C1571" s="13">
        <v>916.8</v>
      </c>
      <c r="D1571" s="8" t="s">
        <v>9141</v>
      </c>
      <c r="E1571" s="8" t="s">
        <v>9142</v>
      </c>
      <c r="F1571" s="8" t="s">
        <v>9143</v>
      </c>
      <c r="G1571" s="6" t="s">
        <v>38</v>
      </c>
      <c r="H1571" s="6" t="s">
        <v>39</v>
      </c>
      <c r="I1571" s="8" t="s">
        <v>1803</v>
      </c>
      <c r="J1571" s="9">
        <v>1</v>
      </c>
      <c r="K1571" s="9">
        <v>168</v>
      </c>
      <c r="L1571" s="9">
        <v>2023</v>
      </c>
      <c r="M1571" s="8" t="s">
        <v>9144</v>
      </c>
      <c r="N1571" s="8" t="s">
        <v>42</v>
      </c>
      <c r="O1571" s="8" t="s">
        <v>101</v>
      </c>
      <c r="P1571" s="6" t="s">
        <v>44</v>
      </c>
      <c r="Q1571" s="8" t="s">
        <v>45</v>
      </c>
      <c r="R1571" s="10" t="s">
        <v>564</v>
      </c>
      <c r="S1571" s="11"/>
      <c r="T1571" s="6" t="s">
        <v>1080</v>
      </c>
      <c r="U1571" s="24" t="str">
        <f>HYPERLINK("https://media.infra-m.ru/2021/2021461/cover/2021461.jpg", "Обложка")</f>
        <v>Обложка</v>
      </c>
      <c r="V1571" s="24" t="str">
        <f>HYPERLINK("https://znanium.ru/catalog/product/970046", "Ознакомиться")</f>
        <v>Ознакомиться</v>
      </c>
      <c r="W1571" s="8" t="s">
        <v>167</v>
      </c>
      <c r="X1571" s="6"/>
      <c r="Y1571" s="6"/>
      <c r="Z1571" s="6"/>
      <c r="AA1571" s="6" t="s">
        <v>76</v>
      </c>
      <c r="AB1571" s="8"/>
    </row>
    <row r="1572" spans="1:28" s="4" customFormat="1" ht="42" customHeight="1">
      <c r="A1572" s="5">
        <v>0</v>
      </c>
      <c r="B1572" s="6" t="s">
        <v>9145</v>
      </c>
      <c r="C1572" s="13">
        <v>652.79999999999995</v>
      </c>
      <c r="D1572" s="8" t="s">
        <v>9146</v>
      </c>
      <c r="E1572" s="8" t="s">
        <v>9147</v>
      </c>
      <c r="F1572" s="8" t="s">
        <v>9148</v>
      </c>
      <c r="G1572" s="6" t="s">
        <v>38</v>
      </c>
      <c r="H1572" s="6" t="s">
        <v>39</v>
      </c>
      <c r="I1572" s="8" t="s">
        <v>40</v>
      </c>
      <c r="J1572" s="9">
        <v>1</v>
      </c>
      <c r="K1572" s="9">
        <v>109</v>
      </c>
      <c r="L1572" s="9">
        <v>2024</v>
      </c>
      <c r="M1572" s="8" t="s">
        <v>9149</v>
      </c>
      <c r="N1572" s="8" t="s">
        <v>42</v>
      </c>
      <c r="O1572" s="8" t="s">
        <v>101</v>
      </c>
      <c r="P1572" s="6" t="s">
        <v>44</v>
      </c>
      <c r="Q1572" s="8" t="s">
        <v>45</v>
      </c>
      <c r="R1572" s="10" t="s">
        <v>874</v>
      </c>
      <c r="S1572" s="11"/>
      <c r="T1572" s="6"/>
      <c r="U1572" s="24" t="str">
        <f>HYPERLINK("https://media.infra-m.ru/2130/2130423/cover/2130423.jpg", "Обложка")</f>
        <v>Обложка</v>
      </c>
      <c r="V1572" s="24" t="str">
        <f>HYPERLINK("https://znanium.ru/catalog/product/1891645", "Ознакомиться")</f>
        <v>Ознакомиться</v>
      </c>
      <c r="W1572" s="8" t="s">
        <v>9150</v>
      </c>
      <c r="X1572" s="6"/>
      <c r="Y1572" s="6"/>
      <c r="Z1572" s="6"/>
      <c r="AA1572" s="6" t="s">
        <v>76</v>
      </c>
      <c r="AB1572" s="8"/>
    </row>
    <row r="1573" spans="1:28" s="4" customFormat="1" ht="42" customHeight="1">
      <c r="A1573" s="5">
        <v>0</v>
      </c>
      <c r="B1573" s="6" t="s">
        <v>9151</v>
      </c>
      <c r="C1573" s="13">
        <v>924</v>
      </c>
      <c r="D1573" s="8" t="s">
        <v>9152</v>
      </c>
      <c r="E1573" s="8" t="s">
        <v>9153</v>
      </c>
      <c r="F1573" s="8" t="s">
        <v>3270</v>
      </c>
      <c r="G1573" s="6" t="s">
        <v>38</v>
      </c>
      <c r="H1573" s="6" t="s">
        <v>39</v>
      </c>
      <c r="I1573" s="8" t="s">
        <v>40</v>
      </c>
      <c r="J1573" s="9">
        <v>1</v>
      </c>
      <c r="K1573" s="9">
        <v>219</v>
      </c>
      <c r="L1573" s="9">
        <v>2020</v>
      </c>
      <c r="M1573" s="8" t="s">
        <v>9154</v>
      </c>
      <c r="N1573" s="8" t="s">
        <v>42</v>
      </c>
      <c r="O1573" s="8" t="s">
        <v>101</v>
      </c>
      <c r="P1573" s="6" t="s">
        <v>44</v>
      </c>
      <c r="Q1573" s="8" t="s">
        <v>45</v>
      </c>
      <c r="R1573" s="10" t="s">
        <v>874</v>
      </c>
      <c r="S1573" s="11"/>
      <c r="T1573" s="6"/>
      <c r="U1573" s="24" t="str">
        <f>HYPERLINK("https://media.infra-m.ru/1087/1087991/cover/1087991.jpg", "Обложка")</f>
        <v>Обложка</v>
      </c>
      <c r="V1573" s="24" t="str">
        <f>HYPERLINK("https://znanium.ru/catalog/product/1087991", "Ознакомиться")</f>
        <v>Ознакомиться</v>
      </c>
      <c r="W1573" s="8" t="s">
        <v>418</v>
      </c>
      <c r="X1573" s="6"/>
      <c r="Y1573" s="6"/>
      <c r="Z1573" s="6"/>
      <c r="AA1573" s="6" t="s">
        <v>76</v>
      </c>
      <c r="AB1573" s="8"/>
    </row>
    <row r="1574" spans="1:28" s="4" customFormat="1" ht="42" customHeight="1">
      <c r="A1574" s="5">
        <v>0</v>
      </c>
      <c r="B1574" s="6" t="s">
        <v>9155</v>
      </c>
      <c r="C1574" s="13">
        <v>744</v>
      </c>
      <c r="D1574" s="8" t="s">
        <v>9156</v>
      </c>
      <c r="E1574" s="8" t="s">
        <v>9157</v>
      </c>
      <c r="F1574" s="8" t="s">
        <v>9158</v>
      </c>
      <c r="G1574" s="6" t="s">
        <v>81</v>
      </c>
      <c r="H1574" s="6" t="s">
        <v>99</v>
      </c>
      <c r="I1574" s="8"/>
      <c r="J1574" s="9">
        <v>1</v>
      </c>
      <c r="K1574" s="9">
        <v>160</v>
      </c>
      <c r="L1574" s="9">
        <v>2022</v>
      </c>
      <c r="M1574" s="8" t="s">
        <v>9159</v>
      </c>
      <c r="N1574" s="8" t="s">
        <v>42</v>
      </c>
      <c r="O1574" s="8" t="s">
        <v>189</v>
      </c>
      <c r="P1574" s="6" t="s">
        <v>44</v>
      </c>
      <c r="Q1574" s="8" t="s">
        <v>45</v>
      </c>
      <c r="R1574" s="10" t="s">
        <v>4222</v>
      </c>
      <c r="S1574" s="11"/>
      <c r="T1574" s="6"/>
      <c r="U1574" s="24" t="str">
        <f>HYPERLINK("https://media.infra-m.ru/1864/1864381/cover/1864381.jpg", "Обложка")</f>
        <v>Обложка</v>
      </c>
      <c r="V1574" s="24" t="str">
        <f>HYPERLINK("https://znanium.ru/catalog/product/1850136", "Ознакомиться")</f>
        <v>Ознакомиться</v>
      </c>
      <c r="W1574" s="8" t="s">
        <v>103</v>
      </c>
      <c r="X1574" s="6"/>
      <c r="Y1574" s="6"/>
      <c r="Z1574" s="6"/>
      <c r="AA1574" s="6" t="s">
        <v>339</v>
      </c>
      <c r="AB1574" s="8"/>
    </row>
    <row r="1575" spans="1:28" s="4" customFormat="1" ht="42" customHeight="1">
      <c r="A1575" s="5">
        <v>0</v>
      </c>
      <c r="B1575" s="6" t="s">
        <v>9160</v>
      </c>
      <c r="C1575" s="7">
        <v>1464</v>
      </c>
      <c r="D1575" s="8" t="s">
        <v>9161</v>
      </c>
      <c r="E1575" s="8" t="s">
        <v>9162</v>
      </c>
      <c r="F1575" s="8" t="s">
        <v>9163</v>
      </c>
      <c r="G1575" s="6" t="s">
        <v>81</v>
      </c>
      <c r="H1575" s="6" t="s">
        <v>39</v>
      </c>
      <c r="I1575" s="8" t="s">
        <v>336</v>
      </c>
      <c r="J1575" s="9">
        <v>1</v>
      </c>
      <c r="K1575" s="9">
        <v>312</v>
      </c>
      <c r="L1575" s="9">
        <v>2022</v>
      </c>
      <c r="M1575" s="8" t="s">
        <v>9164</v>
      </c>
      <c r="N1575" s="8" t="s">
        <v>42</v>
      </c>
      <c r="O1575" s="8" t="s">
        <v>101</v>
      </c>
      <c r="P1575" s="6" t="s">
        <v>44</v>
      </c>
      <c r="Q1575" s="8" t="s">
        <v>45</v>
      </c>
      <c r="R1575" s="10" t="s">
        <v>874</v>
      </c>
      <c r="S1575" s="11"/>
      <c r="T1575" s="6"/>
      <c r="U1575" s="24" t="str">
        <f>HYPERLINK("https://media.infra-m.ru/1841/1841652/cover/1841652.jpg", "Обложка")</f>
        <v>Обложка</v>
      </c>
      <c r="V1575" s="24" t="str">
        <f>HYPERLINK("https://znanium.ru/catalog/product/1841652", "Ознакомиться")</f>
        <v>Ознакомиться</v>
      </c>
      <c r="W1575" s="8" t="s">
        <v>103</v>
      </c>
      <c r="X1575" s="6"/>
      <c r="Y1575" s="6"/>
      <c r="Z1575" s="6"/>
      <c r="AA1575" s="6" t="s">
        <v>76</v>
      </c>
      <c r="AB1575" s="8"/>
    </row>
    <row r="1576" spans="1:28" s="4" customFormat="1" ht="44.1" customHeight="1">
      <c r="A1576" s="5">
        <v>0</v>
      </c>
      <c r="B1576" s="6" t="s">
        <v>9165</v>
      </c>
      <c r="C1576" s="7">
        <v>1176</v>
      </c>
      <c r="D1576" s="8" t="s">
        <v>9166</v>
      </c>
      <c r="E1576" s="8" t="s">
        <v>9167</v>
      </c>
      <c r="F1576" s="8" t="s">
        <v>9168</v>
      </c>
      <c r="G1576" s="6" t="s">
        <v>38</v>
      </c>
      <c r="H1576" s="6" t="s">
        <v>39</v>
      </c>
      <c r="I1576" s="8" t="s">
        <v>40</v>
      </c>
      <c r="J1576" s="9">
        <v>1</v>
      </c>
      <c r="K1576" s="9">
        <v>205</v>
      </c>
      <c r="L1576" s="9">
        <v>2024</v>
      </c>
      <c r="M1576" s="8" t="s">
        <v>9169</v>
      </c>
      <c r="N1576" s="8" t="s">
        <v>42</v>
      </c>
      <c r="O1576" s="8" t="s">
        <v>101</v>
      </c>
      <c r="P1576" s="6" t="s">
        <v>44</v>
      </c>
      <c r="Q1576" s="8" t="s">
        <v>45</v>
      </c>
      <c r="R1576" s="10" t="s">
        <v>692</v>
      </c>
      <c r="S1576" s="11"/>
      <c r="T1576" s="6"/>
      <c r="U1576" s="24" t="str">
        <f>HYPERLINK("https://media.infra-m.ru/2124/2124800/cover/2124800.jpg", "Обложка")</f>
        <v>Обложка</v>
      </c>
      <c r="V1576" s="24" t="str">
        <f>HYPERLINK("https://znanium.ru/catalog/product/2124800", "Ознакомиться")</f>
        <v>Ознакомиться</v>
      </c>
      <c r="W1576" s="8" t="s">
        <v>1126</v>
      </c>
      <c r="X1576" s="6"/>
      <c r="Y1576" s="6"/>
      <c r="Z1576" s="6"/>
      <c r="AA1576" s="6" t="s">
        <v>119</v>
      </c>
      <c r="AB1576" s="8"/>
    </row>
    <row r="1577" spans="1:28" s="4" customFormat="1" ht="42" customHeight="1">
      <c r="A1577" s="5">
        <v>0</v>
      </c>
      <c r="B1577" s="6" t="s">
        <v>9170</v>
      </c>
      <c r="C1577" s="7">
        <v>1716</v>
      </c>
      <c r="D1577" s="8" t="s">
        <v>9171</v>
      </c>
      <c r="E1577" s="8" t="s">
        <v>9172</v>
      </c>
      <c r="F1577" s="8" t="s">
        <v>9173</v>
      </c>
      <c r="G1577" s="6" t="s">
        <v>132</v>
      </c>
      <c r="H1577" s="6" t="s">
        <v>99</v>
      </c>
      <c r="I1577" s="8"/>
      <c r="J1577" s="9">
        <v>1</v>
      </c>
      <c r="K1577" s="9">
        <v>272</v>
      </c>
      <c r="L1577" s="9">
        <v>2025</v>
      </c>
      <c r="M1577" s="8" t="s">
        <v>9174</v>
      </c>
      <c r="N1577" s="8" t="s">
        <v>42</v>
      </c>
      <c r="O1577" s="8" t="s">
        <v>101</v>
      </c>
      <c r="P1577" s="6" t="s">
        <v>44</v>
      </c>
      <c r="Q1577" s="8" t="s">
        <v>3884</v>
      </c>
      <c r="R1577" s="10" t="s">
        <v>9175</v>
      </c>
      <c r="S1577" s="11"/>
      <c r="T1577" s="6"/>
      <c r="U1577" s="24" t="str">
        <f>HYPERLINK("https://media.infra-m.ru/2203/2203143/cover/2203143.jpg", "Обложка")</f>
        <v>Обложка</v>
      </c>
      <c r="V1577" s="24" t="str">
        <f>HYPERLINK("https://znanium.ru/catalog/product/2203143", "Ознакомиться")</f>
        <v>Ознакомиться</v>
      </c>
      <c r="W1577" s="8" t="s">
        <v>2281</v>
      </c>
      <c r="X1577" s="6" t="s">
        <v>320</v>
      </c>
      <c r="Y1577" s="6"/>
      <c r="Z1577" s="6"/>
      <c r="AA1577" s="6" t="s">
        <v>159</v>
      </c>
      <c r="AB1577" s="8"/>
    </row>
    <row r="1578" spans="1:28" s="4" customFormat="1" ht="51.95" customHeight="1">
      <c r="A1578" s="5">
        <v>0</v>
      </c>
      <c r="B1578" s="6" t="s">
        <v>9176</v>
      </c>
      <c r="C1578" s="13">
        <v>359.9</v>
      </c>
      <c r="D1578" s="8" t="s">
        <v>9177</v>
      </c>
      <c r="E1578" s="8" t="s">
        <v>9178</v>
      </c>
      <c r="F1578" s="8" t="s">
        <v>9179</v>
      </c>
      <c r="G1578" s="6" t="s">
        <v>26</v>
      </c>
      <c r="H1578" s="6" t="s">
        <v>182</v>
      </c>
      <c r="I1578" s="8" t="s">
        <v>40</v>
      </c>
      <c r="J1578" s="9">
        <v>20</v>
      </c>
      <c r="K1578" s="9">
        <v>160</v>
      </c>
      <c r="L1578" s="9">
        <v>2015</v>
      </c>
      <c r="M1578" s="8" t="s">
        <v>9180</v>
      </c>
      <c r="N1578" s="8" t="s">
        <v>42</v>
      </c>
      <c r="O1578" s="8" t="s">
        <v>101</v>
      </c>
      <c r="P1578" s="6" t="s">
        <v>44</v>
      </c>
      <c r="Q1578" s="8" t="s">
        <v>1152</v>
      </c>
      <c r="R1578" s="10" t="s">
        <v>9181</v>
      </c>
      <c r="S1578" s="11"/>
      <c r="T1578" s="6"/>
      <c r="U1578" s="24" t="str">
        <f>HYPERLINK("https://media.infra-m.ru/0502/0502507/cover/502507.jpg", "Обложка")</f>
        <v>Обложка</v>
      </c>
      <c r="V1578" s="24" t="str">
        <f>HYPERLINK("https://znanium.ru/catalog/product/926863", "Ознакомиться")</f>
        <v>Ознакомиться</v>
      </c>
      <c r="W1578" s="8" t="s">
        <v>103</v>
      </c>
      <c r="X1578" s="6"/>
      <c r="Y1578" s="6"/>
      <c r="Z1578" s="6"/>
      <c r="AA1578" s="6" t="s">
        <v>377</v>
      </c>
      <c r="AB1578" s="8"/>
    </row>
    <row r="1579" spans="1:28" s="4" customFormat="1" ht="51.95" customHeight="1">
      <c r="A1579" s="5">
        <v>0</v>
      </c>
      <c r="B1579" s="6" t="s">
        <v>9182</v>
      </c>
      <c r="C1579" s="13">
        <v>900</v>
      </c>
      <c r="D1579" s="8" t="s">
        <v>9183</v>
      </c>
      <c r="E1579" s="8" t="s">
        <v>9184</v>
      </c>
      <c r="F1579" s="8" t="s">
        <v>9185</v>
      </c>
      <c r="G1579" s="6" t="s">
        <v>38</v>
      </c>
      <c r="H1579" s="6" t="s">
        <v>39</v>
      </c>
      <c r="I1579" s="8" t="s">
        <v>40</v>
      </c>
      <c r="J1579" s="9">
        <v>1</v>
      </c>
      <c r="K1579" s="9">
        <v>156</v>
      </c>
      <c r="L1579" s="9">
        <v>2024</v>
      </c>
      <c r="M1579" s="8" t="s">
        <v>9186</v>
      </c>
      <c r="N1579" s="8" t="s">
        <v>42</v>
      </c>
      <c r="O1579" s="8" t="s">
        <v>101</v>
      </c>
      <c r="P1579" s="6" t="s">
        <v>44</v>
      </c>
      <c r="Q1579" s="8" t="s">
        <v>45</v>
      </c>
      <c r="R1579" s="10" t="s">
        <v>680</v>
      </c>
      <c r="S1579" s="11"/>
      <c r="T1579" s="6"/>
      <c r="U1579" s="24" t="str">
        <f>HYPERLINK("https://media.infra-m.ru/2095/2095601/cover/2095601.jpg", "Обложка")</f>
        <v>Обложка</v>
      </c>
      <c r="V1579" s="24" t="str">
        <f>HYPERLINK("https://znanium.ru/catalog/product/2095601", "Ознакомиться")</f>
        <v>Ознакомиться</v>
      </c>
      <c r="W1579" s="8" t="s">
        <v>9187</v>
      </c>
      <c r="X1579" s="6"/>
      <c r="Y1579" s="6"/>
      <c r="Z1579" s="6"/>
      <c r="AA1579" s="6" t="s">
        <v>68</v>
      </c>
      <c r="AB1579" s="8"/>
    </row>
    <row r="1580" spans="1:28" s="4" customFormat="1" ht="51.95" customHeight="1">
      <c r="A1580" s="5">
        <v>0</v>
      </c>
      <c r="B1580" s="6" t="s">
        <v>9188</v>
      </c>
      <c r="C1580" s="7">
        <v>1092</v>
      </c>
      <c r="D1580" s="8" t="s">
        <v>9189</v>
      </c>
      <c r="E1580" s="8" t="s">
        <v>9190</v>
      </c>
      <c r="F1580" s="8" t="s">
        <v>9191</v>
      </c>
      <c r="G1580" s="6" t="s">
        <v>38</v>
      </c>
      <c r="H1580" s="6" t="s">
        <v>39</v>
      </c>
      <c r="I1580" s="8" t="s">
        <v>40</v>
      </c>
      <c r="J1580" s="9">
        <v>1</v>
      </c>
      <c r="K1580" s="9">
        <v>197</v>
      </c>
      <c r="L1580" s="9">
        <v>2024</v>
      </c>
      <c r="M1580" s="8" t="s">
        <v>9192</v>
      </c>
      <c r="N1580" s="8" t="s">
        <v>42</v>
      </c>
      <c r="O1580" s="8" t="s">
        <v>101</v>
      </c>
      <c r="P1580" s="6" t="s">
        <v>44</v>
      </c>
      <c r="Q1580" s="8" t="s">
        <v>45</v>
      </c>
      <c r="R1580" s="10" t="s">
        <v>9193</v>
      </c>
      <c r="S1580" s="11"/>
      <c r="T1580" s="6"/>
      <c r="U1580" s="24" t="str">
        <f>HYPERLINK("https://media.infra-m.ru/1981/1981688/cover/1981688.jpg", "Обложка")</f>
        <v>Обложка</v>
      </c>
      <c r="V1580" s="24" t="str">
        <f>HYPERLINK("https://znanium.ru/catalog/product/1981688", "Ознакомиться")</f>
        <v>Ознакомиться</v>
      </c>
      <c r="W1580" s="8" t="s">
        <v>9194</v>
      </c>
      <c r="X1580" s="6"/>
      <c r="Y1580" s="6"/>
      <c r="Z1580" s="6"/>
      <c r="AA1580" s="6" t="s">
        <v>58</v>
      </c>
      <c r="AB1580" s="8"/>
    </row>
    <row r="1581" spans="1:28" s="4" customFormat="1" ht="51.95" customHeight="1">
      <c r="A1581" s="5">
        <v>0</v>
      </c>
      <c r="B1581" s="6" t="s">
        <v>9195</v>
      </c>
      <c r="C1581" s="7">
        <v>1488</v>
      </c>
      <c r="D1581" s="8" t="s">
        <v>9196</v>
      </c>
      <c r="E1581" s="8" t="s">
        <v>9197</v>
      </c>
      <c r="F1581" s="8" t="s">
        <v>9198</v>
      </c>
      <c r="G1581" s="6" t="s">
        <v>81</v>
      </c>
      <c r="H1581" s="6" t="s">
        <v>99</v>
      </c>
      <c r="I1581" s="8"/>
      <c r="J1581" s="9">
        <v>1</v>
      </c>
      <c r="K1581" s="9">
        <v>248</v>
      </c>
      <c r="L1581" s="9">
        <v>2025</v>
      </c>
      <c r="M1581" s="8" t="s">
        <v>9199</v>
      </c>
      <c r="N1581" s="8" t="s">
        <v>42</v>
      </c>
      <c r="O1581" s="8" t="s">
        <v>101</v>
      </c>
      <c r="P1581" s="6" t="s">
        <v>44</v>
      </c>
      <c r="Q1581" s="8" t="s">
        <v>45</v>
      </c>
      <c r="R1581" s="10" t="s">
        <v>390</v>
      </c>
      <c r="S1581" s="11"/>
      <c r="T1581" s="6"/>
      <c r="U1581" s="24" t="str">
        <f>HYPERLINK("https://media.infra-m.ru/2186/2186982/cover/2186982.jpg", "Обложка")</f>
        <v>Обложка</v>
      </c>
      <c r="V1581" s="24" t="str">
        <f>HYPERLINK("https://znanium.ru/catalog/product/2186982", "Ознакомиться")</f>
        <v>Ознакомиться</v>
      </c>
      <c r="W1581" s="8"/>
      <c r="X1581" s="6"/>
      <c r="Y1581" s="6"/>
      <c r="Z1581" s="6"/>
      <c r="AA1581" s="6" t="s">
        <v>119</v>
      </c>
      <c r="AB1581" s="8"/>
    </row>
    <row r="1582" spans="1:28" s="4" customFormat="1" ht="51.95" customHeight="1">
      <c r="A1582" s="5">
        <v>0</v>
      </c>
      <c r="B1582" s="6" t="s">
        <v>9200</v>
      </c>
      <c r="C1582" s="13">
        <v>880.8</v>
      </c>
      <c r="D1582" s="8" t="s">
        <v>9201</v>
      </c>
      <c r="E1582" s="8" t="s">
        <v>9202</v>
      </c>
      <c r="F1582" s="8" t="s">
        <v>3952</v>
      </c>
      <c r="G1582" s="6" t="s">
        <v>38</v>
      </c>
      <c r="H1582" s="6" t="s">
        <v>39</v>
      </c>
      <c r="I1582" s="8" t="s">
        <v>40</v>
      </c>
      <c r="J1582" s="9">
        <v>1</v>
      </c>
      <c r="K1582" s="9">
        <v>147</v>
      </c>
      <c r="L1582" s="9">
        <v>2025</v>
      </c>
      <c r="M1582" s="8" t="s">
        <v>9203</v>
      </c>
      <c r="N1582" s="8" t="s">
        <v>42</v>
      </c>
      <c r="O1582" s="8" t="s">
        <v>189</v>
      </c>
      <c r="P1582" s="6" t="s">
        <v>44</v>
      </c>
      <c r="Q1582" s="8" t="s">
        <v>45</v>
      </c>
      <c r="R1582" s="10" t="s">
        <v>9204</v>
      </c>
      <c r="S1582" s="11"/>
      <c r="T1582" s="6"/>
      <c r="U1582" s="24" t="str">
        <f>HYPERLINK("https://media.infra-m.ru/2178/2178774/cover/2178774.jpg", "Обложка")</f>
        <v>Обложка</v>
      </c>
      <c r="V1582" s="24" t="str">
        <f>HYPERLINK("https://znanium.ru/catalog/product/1041934", "Ознакомиться")</f>
        <v>Ознакомиться</v>
      </c>
      <c r="W1582" s="8" t="s">
        <v>3955</v>
      </c>
      <c r="X1582" s="6"/>
      <c r="Y1582" s="6"/>
      <c r="Z1582" s="6"/>
      <c r="AA1582" s="6" t="s">
        <v>168</v>
      </c>
      <c r="AB1582" s="8"/>
    </row>
    <row r="1583" spans="1:28" s="4" customFormat="1" ht="42" customHeight="1">
      <c r="A1583" s="5">
        <v>0</v>
      </c>
      <c r="B1583" s="6" t="s">
        <v>9205</v>
      </c>
      <c r="C1583" s="7">
        <v>1056</v>
      </c>
      <c r="D1583" s="8" t="s">
        <v>9206</v>
      </c>
      <c r="E1583" s="8" t="s">
        <v>9207</v>
      </c>
      <c r="F1583" s="8" t="s">
        <v>9208</v>
      </c>
      <c r="G1583" s="6" t="s">
        <v>38</v>
      </c>
      <c r="H1583" s="6" t="s">
        <v>39</v>
      </c>
      <c r="I1583" s="8" t="s">
        <v>40</v>
      </c>
      <c r="J1583" s="9">
        <v>1</v>
      </c>
      <c r="K1583" s="9">
        <v>178</v>
      </c>
      <c r="L1583" s="9">
        <v>2023</v>
      </c>
      <c r="M1583" s="8" t="s">
        <v>9209</v>
      </c>
      <c r="N1583" s="8" t="s">
        <v>42</v>
      </c>
      <c r="O1583" s="8" t="s">
        <v>101</v>
      </c>
      <c r="P1583" s="6" t="s">
        <v>44</v>
      </c>
      <c r="Q1583" s="8" t="s">
        <v>45</v>
      </c>
      <c r="R1583" s="10" t="s">
        <v>5449</v>
      </c>
      <c r="S1583" s="11"/>
      <c r="T1583" s="6"/>
      <c r="U1583" s="24" t="str">
        <f>HYPERLINK("https://media.infra-m.ru/2125/2125437/cover/2125437.jpg", "Обложка")</f>
        <v>Обложка</v>
      </c>
      <c r="V1583" s="24" t="str">
        <f>HYPERLINK("https://znanium.ru/catalog/product/1910639", "Ознакомиться")</f>
        <v>Ознакомиться</v>
      </c>
      <c r="W1583" s="8"/>
      <c r="X1583" s="6"/>
      <c r="Y1583" s="6"/>
      <c r="Z1583" s="6"/>
      <c r="AA1583" s="6" t="s">
        <v>119</v>
      </c>
      <c r="AB1583" s="8"/>
    </row>
    <row r="1584" spans="1:28" s="4" customFormat="1" ht="42" customHeight="1">
      <c r="A1584" s="5">
        <v>0</v>
      </c>
      <c r="B1584" s="6" t="s">
        <v>9210</v>
      </c>
      <c r="C1584" s="7">
        <v>1716</v>
      </c>
      <c r="D1584" s="8" t="s">
        <v>9211</v>
      </c>
      <c r="E1584" s="8" t="s">
        <v>9212</v>
      </c>
      <c r="F1584" s="8" t="s">
        <v>9213</v>
      </c>
      <c r="G1584" s="6" t="s">
        <v>81</v>
      </c>
      <c r="H1584" s="6" t="s">
        <v>99</v>
      </c>
      <c r="I1584" s="8"/>
      <c r="J1584" s="9">
        <v>1</v>
      </c>
      <c r="K1584" s="9">
        <v>264</v>
      </c>
      <c r="L1584" s="9">
        <v>2026</v>
      </c>
      <c r="M1584" s="8" t="s">
        <v>9214</v>
      </c>
      <c r="N1584" s="8" t="s">
        <v>42</v>
      </c>
      <c r="O1584" s="8" t="s">
        <v>101</v>
      </c>
      <c r="P1584" s="6" t="s">
        <v>44</v>
      </c>
      <c r="Q1584" s="8" t="s">
        <v>45</v>
      </c>
      <c r="R1584" s="10" t="s">
        <v>2490</v>
      </c>
      <c r="S1584" s="11"/>
      <c r="T1584" s="6"/>
      <c r="U1584" s="24" t="str">
        <f>HYPERLINK("https://media.infra-m.ru/2215/2215901/cover/2215901.jpg", "Обложка")</f>
        <v>Обложка</v>
      </c>
      <c r="V1584" s="24" t="str">
        <f>HYPERLINK("https://znanium.ru/catalog/product/2215901", "Ознакомиться")</f>
        <v>Ознакомиться</v>
      </c>
      <c r="W1584" s="8" t="s">
        <v>565</v>
      </c>
      <c r="X1584" s="6"/>
      <c r="Y1584" s="6"/>
      <c r="Z1584" s="6"/>
      <c r="AA1584" s="6" t="s">
        <v>168</v>
      </c>
      <c r="AB1584" s="8"/>
    </row>
    <row r="1585" spans="1:28" s="4" customFormat="1" ht="42" customHeight="1">
      <c r="A1585" s="5">
        <v>0</v>
      </c>
      <c r="B1585" s="6" t="s">
        <v>9215</v>
      </c>
      <c r="C1585" s="7">
        <v>1121.9000000000001</v>
      </c>
      <c r="D1585" s="8" t="s">
        <v>9216</v>
      </c>
      <c r="E1585" s="8" t="s">
        <v>9217</v>
      </c>
      <c r="F1585" s="8" t="s">
        <v>9218</v>
      </c>
      <c r="G1585" s="6" t="s">
        <v>38</v>
      </c>
      <c r="H1585" s="6" t="s">
        <v>39</v>
      </c>
      <c r="I1585" s="8" t="s">
        <v>40</v>
      </c>
      <c r="J1585" s="9">
        <v>1</v>
      </c>
      <c r="K1585" s="9">
        <v>207</v>
      </c>
      <c r="L1585" s="9">
        <v>2023</v>
      </c>
      <c r="M1585" s="8" t="s">
        <v>9219</v>
      </c>
      <c r="N1585" s="8" t="s">
        <v>42</v>
      </c>
      <c r="O1585" s="8" t="s">
        <v>101</v>
      </c>
      <c r="P1585" s="6" t="s">
        <v>44</v>
      </c>
      <c r="Q1585" s="8" t="s">
        <v>45</v>
      </c>
      <c r="R1585" s="10" t="s">
        <v>2490</v>
      </c>
      <c r="S1585" s="11"/>
      <c r="T1585" s="6"/>
      <c r="U1585" s="24" t="str">
        <f>HYPERLINK("https://media.infra-m.ru/2030/2030889/cover/2030889.jpg", "Обложка")</f>
        <v>Обложка</v>
      </c>
      <c r="V1585" s="24" t="str">
        <f>HYPERLINK("https://znanium.ru/catalog/product/1004280", "Ознакомиться")</f>
        <v>Ознакомиться</v>
      </c>
      <c r="W1585" s="8" t="s">
        <v>418</v>
      </c>
      <c r="X1585" s="6"/>
      <c r="Y1585" s="6"/>
      <c r="Z1585" s="6"/>
      <c r="AA1585" s="6" t="s">
        <v>168</v>
      </c>
      <c r="AB1585" s="8"/>
    </row>
    <row r="1586" spans="1:28" s="4" customFormat="1" ht="44.1" customHeight="1">
      <c r="A1586" s="5">
        <v>0</v>
      </c>
      <c r="B1586" s="6" t="s">
        <v>9220</v>
      </c>
      <c r="C1586" s="7">
        <v>1828.8</v>
      </c>
      <c r="D1586" s="8" t="s">
        <v>9221</v>
      </c>
      <c r="E1586" s="8" t="s">
        <v>9222</v>
      </c>
      <c r="F1586" s="8" t="s">
        <v>9223</v>
      </c>
      <c r="G1586" s="6" t="s">
        <v>38</v>
      </c>
      <c r="H1586" s="6" t="s">
        <v>39</v>
      </c>
      <c r="I1586" s="8" t="s">
        <v>336</v>
      </c>
      <c r="J1586" s="9">
        <v>1</v>
      </c>
      <c r="K1586" s="9">
        <v>280</v>
      </c>
      <c r="L1586" s="9">
        <v>2025</v>
      </c>
      <c r="M1586" s="8" t="s">
        <v>9224</v>
      </c>
      <c r="N1586" s="8" t="s">
        <v>42</v>
      </c>
      <c r="O1586" s="8" t="s">
        <v>101</v>
      </c>
      <c r="P1586" s="6" t="s">
        <v>44</v>
      </c>
      <c r="Q1586" s="8" t="s">
        <v>1152</v>
      </c>
      <c r="R1586" s="10" t="s">
        <v>269</v>
      </c>
      <c r="S1586" s="11"/>
      <c r="T1586" s="6"/>
      <c r="U1586" s="24" t="str">
        <f>HYPERLINK("https://media.infra-m.ru/2196/2196894/cover/2196894.jpg", "Обложка")</f>
        <v>Обложка</v>
      </c>
      <c r="V1586" s="24" t="str">
        <f>HYPERLINK("https://znanium.ru/catalog/product/1081881", "Ознакомиться")</f>
        <v>Ознакомиться</v>
      </c>
      <c r="W1586" s="8" t="s">
        <v>103</v>
      </c>
      <c r="X1586" s="6"/>
      <c r="Y1586" s="6"/>
      <c r="Z1586" s="6"/>
      <c r="AA1586" s="6" t="s">
        <v>290</v>
      </c>
      <c r="AB1586" s="8"/>
    </row>
    <row r="1587" spans="1:28" s="4" customFormat="1" ht="42" customHeight="1">
      <c r="A1587" s="5">
        <v>0</v>
      </c>
      <c r="B1587" s="6" t="s">
        <v>9225</v>
      </c>
      <c r="C1587" s="7">
        <v>1673.9</v>
      </c>
      <c r="D1587" s="8" t="s">
        <v>9226</v>
      </c>
      <c r="E1587" s="8" t="s">
        <v>9227</v>
      </c>
      <c r="F1587" s="8" t="s">
        <v>9228</v>
      </c>
      <c r="G1587" s="6" t="s">
        <v>132</v>
      </c>
      <c r="H1587" s="6" t="s">
        <v>39</v>
      </c>
      <c r="I1587" s="8" t="s">
        <v>40</v>
      </c>
      <c r="J1587" s="9">
        <v>1</v>
      </c>
      <c r="K1587" s="9">
        <v>309</v>
      </c>
      <c r="L1587" s="9">
        <v>2023</v>
      </c>
      <c r="M1587" s="8" t="s">
        <v>9229</v>
      </c>
      <c r="N1587" s="8" t="s">
        <v>42</v>
      </c>
      <c r="O1587" s="8" t="s">
        <v>101</v>
      </c>
      <c r="P1587" s="6" t="s">
        <v>44</v>
      </c>
      <c r="Q1587" s="8" t="s">
        <v>45</v>
      </c>
      <c r="R1587" s="10" t="s">
        <v>269</v>
      </c>
      <c r="S1587" s="11"/>
      <c r="T1587" s="6"/>
      <c r="U1587" s="24" t="str">
        <f>HYPERLINK("https://media.infra-m.ru/2030/2030881/cover/2030881.jpg", "Обложка")</f>
        <v>Обложка</v>
      </c>
      <c r="V1587" s="24" t="str">
        <f>HYPERLINK("https://znanium.ru/catalog/product/1150954", "Ознакомиться")</f>
        <v>Ознакомиться</v>
      </c>
      <c r="W1587" s="8" t="s">
        <v>2281</v>
      </c>
      <c r="X1587" s="6"/>
      <c r="Y1587" s="6"/>
      <c r="Z1587" s="6"/>
      <c r="AA1587" s="6" t="s">
        <v>76</v>
      </c>
      <c r="AB1587" s="8"/>
    </row>
    <row r="1588" spans="1:28" s="4" customFormat="1" ht="51.95" customHeight="1">
      <c r="A1588" s="5">
        <v>0</v>
      </c>
      <c r="B1588" s="6" t="s">
        <v>9230</v>
      </c>
      <c r="C1588" s="13">
        <v>953.9</v>
      </c>
      <c r="D1588" s="8" t="s">
        <v>9231</v>
      </c>
      <c r="E1588" s="8" t="s">
        <v>9232</v>
      </c>
      <c r="F1588" s="8" t="s">
        <v>9233</v>
      </c>
      <c r="G1588" s="6" t="s">
        <v>38</v>
      </c>
      <c r="H1588" s="6" t="s">
        <v>39</v>
      </c>
      <c r="I1588" s="8" t="s">
        <v>40</v>
      </c>
      <c r="J1588" s="9">
        <v>1</v>
      </c>
      <c r="K1588" s="9">
        <v>177</v>
      </c>
      <c r="L1588" s="9">
        <v>2023</v>
      </c>
      <c r="M1588" s="8" t="s">
        <v>9234</v>
      </c>
      <c r="N1588" s="8" t="s">
        <v>42</v>
      </c>
      <c r="O1588" s="8" t="s">
        <v>101</v>
      </c>
      <c r="P1588" s="6" t="s">
        <v>44</v>
      </c>
      <c r="Q1588" s="8" t="s">
        <v>45</v>
      </c>
      <c r="R1588" s="10" t="s">
        <v>9235</v>
      </c>
      <c r="S1588" s="11"/>
      <c r="T1588" s="6"/>
      <c r="U1588" s="24" t="str">
        <f>HYPERLINK("https://media.infra-m.ru/2006/2006945/cover/2006945.jpg", "Обложка")</f>
        <v>Обложка</v>
      </c>
      <c r="V1588" s="24" t="str">
        <f>HYPERLINK("https://znanium.ru/catalog/product/1068173", "Ознакомиться")</f>
        <v>Ознакомиться</v>
      </c>
      <c r="W1588" s="8" t="s">
        <v>7725</v>
      </c>
      <c r="X1588" s="6"/>
      <c r="Y1588" s="6"/>
      <c r="Z1588" s="6"/>
      <c r="AA1588" s="6" t="s">
        <v>76</v>
      </c>
      <c r="AB1588" s="8"/>
    </row>
    <row r="1589" spans="1:28" s="4" customFormat="1" ht="42" customHeight="1">
      <c r="A1589" s="5">
        <v>0</v>
      </c>
      <c r="B1589" s="6" t="s">
        <v>9236</v>
      </c>
      <c r="C1589" s="7">
        <v>1032</v>
      </c>
      <c r="D1589" s="8" t="s">
        <v>9237</v>
      </c>
      <c r="E1589" s="8" t="s">
        <v>9238</v>
      </c>
      <c r="F1589" s="8" t="s">
        <v>9239</v>
      </c>
      <c r="G1589" s="6" t="s">
        <v>132</v>
      </c>
      <c r="H1589" s="6" t="s">
        <v>39</v>
      </c>
      <c r="I1589" s="8" t="s">
        <v>40</v>
      </c>
      <c r="J1589" s="14">
        <v>0</v>
      </c>
      <c r="K1589" s="9">
        <v>252</v>
      </c>
      <c r="L1589" s="9">
        <v>2019</v>
      </c>
      <c r="M1589" s="8" t="s">
        <v>9240</v>
      </c>
      <c r="N1589" s="8" t="s">
        <v>42</v>
      </c>
      <c r="O1589" s="8" t="s">
        <v>101</v>
      </c>
      <c r="P1589" s="6" t="s">
        <v>44</v>
      </c>
      <c r="Q1589" s="8" t="s">
        <v>45</v>
      </c>
      <c r="R1589" s="10" t="s">
        <v>2503</v>
      </c>
      <c r="S1589" s="11"/>
      <c r="T1589" s="6"/>
      <c r="U1589" s="24" t="str">
        <f>HYPERLINK("https://media.infra-m.ru/0993/0993455/cover/993455.jpg", "Обложка")</f>
        <v>Обложка</v>
      </c>
      <c r="V1589" s="24" t="str">
        <f>HYPERLINK("https://znanium.ru/catalog/product/993455", "Ознакомиться")</f>
        <v>Ознакомиться</v>
      </c>
      <c r="W1589" s="8" t="s">
        <v>191</v>
      </c>
      <c r="X1589" s="6"/>
      <c r="Y1589" s="6"/>
      <c r="Z1589" s="6"/>
      <c r="AA1589" s="6" t="s">
        <v>76</v>
      </c>
      <c r="AB1589" s="8"/>
    </row>
    <row r="1590" spans="1:28" s="4" customFormat="1" ht="42" customHeight="1">
      <c r="A1590" s="5">
        <v>0</v>
      </c>
      <c r="B1590" s="6" t="s">
        <v>9241</v>
      </c>
      <c r="C1590" s="13">
        <v>780</v>
      </c>
      <c r="D1590" s="8" t="s">
        <v>9242</v>
      </c>
      <c r="E1590" s="8" t="s">
        <v>9243</v>
      </c>
      <c r="F1590" s="8" t="s">
        <v>9244</v>
      </c>
      <c r="G1590" s="6" t="s">
        <v>38</v>
      </c>
      <c r="H1590" s="6" t="s">
        <v>39</v>
      </c>
      <c r="I1590" s="8" t="s">
        <v>40</v>
      </c>
      <c r="J1590" s="9">
        <v>1</v>
      </c>
      <c r="K1590" s="9">
        <v>124</v>
      </c>
      <c r="L1590" s="9">
        <v>2025</v>
      </c>
      <c r="M1590" s="8" t="s">
        <v>9245</v>
      </c>
      <c r="N1590" s="8" t="s">
        <v>42</v>
      </c>
      <c r="O1590" s="8" t="s">
        <v>101</v>
      </c>
      <c r="P1590" s="6" t="s">
        <v>44</v>
      </c>
      <c r="Q1590" s="8" t="s">
        <v>45</v>
      </c>
      <c r="R1590" s="10" t="s">
        <v>564</v>
      </c>
      <c r="S1590" s="11"/>
      <c r="T1590" s="6"/>
      <c r="U1590" s="24" t="str">
        <f>HYPERLINK("https://media.infra-m.ru/2188/2188289/cover/2188289.jpg", "Обложка")</f>
        <v>Обложка</v>
      </c>
      <c r="V1590" s="24" t="str">
        <f>HYPERLINK("https://znanium.ru/catalog/product/2188289", "Ознакомиться")</f>
        <v>Ознакомиться</v>
      </c>
      <c r="W1590" s="8" t="s">
        <v>6654</v>
      </c>
      <c r="X1590" s="6"/>
      <c r="Y1590" s="6"/>
      <c r="Z1590" s="6"/>
      <c r="AA1590" s="6" t="s">
        <v>48</v>
      </c>
      <c r="AB1590" s="8"/>
    </row>
    <row r="1591" spans="1:28" s="4" customFormat="1" ht="51.95" customHeight="1">
      <c r="A1591" s="5">
        <v>0</v>
      </c>
      <c r="B1591" s="6" t="s">
        <v>9246</v>
      </c>
      <c r="C1591" s="7">
        <v>1164</v>
      </c>
      <c r="D1591" s="8" t="s">
        <v>9247</v>
      </c>
      <c r="E1591" s="8" t="s">
        <v>9248</v>
      </c>
      <c r="F1591" s="8" t="s">
        <v>9249</v>
      </c>
      <c r="G1591" s="6" t="s">
        <v>38</v>
      </c>
      <c r="H1591" s="6" t="s">
        <v>39</v>
      </c>
      <c r="I1591" s="8" t="s">
        <v>40</v>
      </c>
      <c r="J1591" s="9">
        <v>1</v>
      </c>
      <c r="K1591" s="9">
        <v>230</v>
      </c>
      <c r="L1591" s="9">
        <v>2022</v>
      </c>
      <c r="M1591" s="8" t="s">
        <v>9250</v>
      </c>
      <c r="N1591" s="8" t="s">
        <v>42</v>
      </c>
      <c r="O1591" s="8" t="s">
        <v>101</v>
      </c>
      <c r="P1591" s="6" t="s">
        <v>44</v>
      </c>
      <c r="Q1591" s="8" t="s">
        <v>45</v>
      </c>
      <c r="R1591" s="10" t="s">
        <v>2280</v>
      </c>
      <c r="S1591" s="11"/>
      <c r="T1591" s="6"/>
      <c r="U1591" s="24" t="str">
        <f>HYPERLINK("https://media.infra-m.ru/1862/1862596/cover/1862596.jpg", "Обложка")</f>
        <v>Обложка</v>
      </c>
      <c r="V1591" s="24" t="str">
        <f>HYPERLINK("https://znanium.ru/catalog/product/1862596", "Ознакомиться")</f>
        <v>Ознакомиться</v>
      </c>
      <c r="W1591" s="8" t="s">
        <v>2144</v>
      </c>
      <c r="X1591" s="6"/>
      <c r="Y1591" s="6"/>
      <c r="Z1591" s="6"/>
      <c r="AA1591" s="6" t="s">
        <v>111</v>
      </c>
      <c r="AB1591" s="8"/>
    </row>
    <row r="1592" spans="1:28" s="4" customFormat="1" ht="42" customHeight="1">
      <c r="A1592" s="5">
        <v>0</v>
      </c>
      <c r="B1592" s="6" t="s">
        <v>9251</v>
      </c>
      <c r="C1592" s="7">
        <v>1120.8</v>
      </c>
      <c r="D1592" s="8" t="s">
        <v>9252</v>
      </c>
      <c r="E1592" s="8" t="s">
        <v>9253</v>
      </c>
      <c r="F1592" s="8" t="s">
        <v>9254</v>
      </c>
      <c r="G1592" s="6" t="s">
        <v>81</v>
      </c>
      <c r="H1592" s="6" t="s">
        <v>39</v>
      </c>
      <c r="I1592" s="8" t="s">
        <v>40</v>
      </c>
      <c r="J1592" s="9">
        <v>1</v>
      </c>
      <c r="K1592" s="9">
        <v>199</v>
      </c>
      <c r="L1592" s="9">
        <v>2024</v>
      </c>
      <c r="M1592" s="8" t="s">
        <v>9255</v>
      </c>
      <c r="N1592" s="8" t="s">
        <v>42</v>
      </c>
      <c r="O1592" s="8" t="s">
        <v>101</v>
      </c>
      <c r="P1592" s="6" t="s">
        <v>44</v>
      </c>
      <c r="Q1592" s="8" t="s">
        <v>45</v>
      </c>
      <c r="R1592" s="10" t="s">
        <v>9256</v>
      </c>
      <c r="S1592" s="11"/>
      <c r="T1592" s="6"/>
      <c r="U1592" s="24" t="str">
        <f>HYPERLINK("https://media.infra-m.ru/2152/2152064/cover/2152064.jpg", "Обложка")</f>
        <v>Обложка</v>
      </c>
      <c r="V1592" s="24" t="str">
        <f>HYPERLINK("https://znanium.ru/catalog/product/1881139", "Ознакомиться")</f>
        <v>Ознакомиться</v>
      </c>
      <c r="W1592" s="8" t="s">
        <v>535</v>
      </c>
      <c r="X1592" s="6"/>
      <c r="Y1592" s="6"/>
      <c r="Z1592" s="6"/>
      <c r="AA1592" s="6" t="s">
        <v>76</v>
      </c>
      <c r="AB1592" s="8"/>
    </row>
    <row r="1593" spans="1:28" s="4" customFormat="1" ht="44.1" customHeight="1">
      <c r="A1593" s="5">
        <v>0</v>
      </c>
      <c r="B1593" s="6" t="s">
        <v>9257</v>
      </c>
      <c r="C1593" s="13">
        <v>756</v>
      </c>
      <c r="D1593" s="8" t="s">
        <v>9258</v>
      </c>
      <c r="E1593" s="8" t="s">
        <v>9259</v>
      </c>
      <c r="F1593" s="8" t="s">
        <v>9260</v>
      </c>
      <c r="G1593" s="6" t="s">
        <v>38</v>
      </c>
      <c r="H1593" s="6" t="s">
        <v>39</v>
      </c>
      <c r="I1593" s="8" t="s">
        <v>40</v>
      </c>
      <c r="J1593" s="9">
        <v>1</v>
      </c>
      <c r="K1593" s="9">
        <v>159</v>
      </c>
      <c r="L1593" s="9">
        <v>2022</v>
      </c>
      <c r="M1593" s="8" t="s">
        <v>9261</v>
      </c>
      <c r="N1593" s="8" t="s">
        <v>42</v>
      </c>
      <c r="O1593" s="8" t="s">
        <v>101</v>
      </c>
      <c r="P1593" s="6" t="s">
        <v>44</v>
      </c>
      <c r="Q1593" s="8" t="s">
        <v>45</v>
      </c>
      <c r="R1593" s="10" t="s">
        <v>2956</v>
      </c>
      <c r="S1593" s="11"/>
      <c r="T1593" s="6"/>
      <c r="U1593" s="24" t="str">
        <f>HYPERLINK("https://media.infra-m.ru/1864/1864114/cover/1864114.jpg", "Обложка")</f>
        <v>Обложка</v>
      </c>
      <c r="V1593" s="24" t="str">
        <f>HYPERLINK("https://znanium.ru/catalog/product/1864114", "Ознакомиться")</f>
        <v>Ознакомиться</v>
      </c>
      <c r="W1593" s="8" t="s">
        <v>9262</v>
      </c>
      <c r="X1593" s="6"/>
      <c r="Y1593" s="6"/>
      <c r="Z1593" s="6"/>
      <c r="AA1593" s="6" t="s">
        <v>168</v>
      </c>
      <c r="AB1593" s="8"/>
    </row>
    <row r="1594" spans="1:28" s="4" customFormat="1" ht="51.95" customHeight="1">
      <c r="A1594" s="5">
        <v>0</v>
      </c>
      <c r="B1594" s="6" t="s">
        <v>9263</v>
      </c>
      <c r="C1594" s="13">
        <v>936</v>
      </c>
      <c r="D1594" s="8" t="s">
        <v>9264</v>
      </c>
      <c r="E1594" s="8" t="s">
        <v>9265</v>
      </c>
      <c r="F1594" s="8" t="s">
        <v>2966</v>
      </c>
      <c r="G1594" s="6" t="s">
        <v>38</v>
      </c>
      <c r="H1594" s="6" t="s">
        <v>99</v>
      </c>
      <c r="I1594" s="8"/>
      <c r="J1594" s="9">
        <v>1</v>
      </c>
      <c r="K1594" s="9">
        <v>144</v>
      </c>
      <c r="L1594" s="9">
        <v>2025</v>
      </c>
      <c r="M1594" s="8" t="s">
        <v>9266</v>
      </c>
      <c r="N1594" s="8" t="s">
        <v>42</v>
      </c>
      <c r="O1594" s="8" t="s">
        <v>101</v>
      </c>
      <c r="P1594" s="6" t="s">
        <v>44</v>
      </c>
      <c r="Q1594" s="8" t="s">
        <v>45</v>
      </c>
      <c r="R1594" s="10" t="s">
        <v>9267</v>
      </c>
      <c r="S1594" s="11"/>
      <c r="T1594" s="6"/>
      <c r="U1594" s="24" t="str">
        <f>HYPERLINK("https://media.infra-m.ru/2196/2196407/cover/2196407.jpg", "Обложка")</f>
        <v>Обложка</v>
      </c>
      <c r="V1594" s="24" t="str">
        <f>HYPERLINK("https://znanium.ru/catalog/product/2179172", "Ознакомиться")</f>
        <v>Ознакомиться</v>
      </c>
      <c r="W1594" s="8" t="s">
        <v>103</v>
      </c>
      <c r="X1594" s="6"/>
      <c r="Y1594" s="6"/>
      <c r="Z1594" s="6"/>
      <c r="AA1594" s="6" t="s">
        <v>159</v>
      </c>
      <c r="AB1594" s="8"/>
    </row>
    <row r="1595" spans="1:28" s="4" customFormat="1" ht="44.1" customHeight="1">
      <c r="A1595" s="5">
        <v>0</v>
      </c>
      <c r="B1595" s="6" t="s">
        <v>9268</v>
      </c>
      <c r="C1595" s="7">
        <v>2524.8000000000002</v>
      </c>
      <c r="D1595" s="8" t="s">
        <v>9269</v>
      </c>
      <c r="E1595" s="8" t="s">
        <v>9270</v>
      </c>
      <c r="F1595" s="8" t="s">
        <v>9271</v>
      </c>
      <c r="G1595" s="6" t="s">
        <v>132</v>
      </c>
      <c r="H1595" s="6" t="s">
        <v>39</v>
      </c>
      <c r="I1595" s="8" t="s">
        <v>336</v>
      </c>
      <c r="J1595" s="9">
        <v>1</v>
      </c>
      <c r="K1595" s="9">
        <v>456</v>
      </c>
      <c r="L1595" s="9">
        <v>2024</v>
      </c>
      <c r="M1595" s="8" t="s">
        <v>9272</v>
      </c>
      <c r="N1595" s="8" t="s">
        <v>42</v>
      </c>
      <c r="O1595" s="8" t="s">
        <v>101</v>
      </c>
      <c r="P1595" s="6" t="s">
        <v>44</v>
      </c>
      <c r="Q1595" s="8" t="s">
        <v>45</v>
      </c>
      <c r="R1595" s="10" t="s">
        <v>9273</v>
      </c>
      <c r="S1595" s="11"/>
      <c r="T1595" s="6"/>
      <c r="U1595" s="24" t="str">
        <f>HYPERLINK("https://media.infra-m.ru/2123/2123888/cover/2123888.jpg", "Обложка")</f>
        <v>Обложка</v>
      </c>
      <c r="V1595" s="24" t="str">
        <f>HYPERLINK("https://znanium.ru/catalog/product/1905450", "Ознакомиться")</f>
        <v>Ознакомиться</v>
      </c>
      <c r="W1595" s="8" t="s">
        <v>103</v>
      </c>
      <c r="X1595" s="6"/>
      <c r="Y1595" s="6"/>
      <c r="Z1595" s="6"/>
      <c r="AA1595" s="6" t="s">
        <v>111</v>
      </c>
      <c r="AB1595" s="8"/>
    </row>
    <row r="1596" spans="1:28" s="4" customFormat="1" ht="42" customHeight="1">
      <c r="A1596" s="5">
        <v>0</v>
      </c>
      <c r="B1596" s="6" t="s">
        <v>9274</v>
      </c>
      <c r="C1596" s="7">
        <v>1296</v>
      </c>
      <c r="D1596" s="8" t="s">
        <v>9275</v>
      </c>
      <c r="E1596" s="8" t="s">
        <v>9276</v>
      </c>
      <c r="F1596" s="8" t="s">
        <v>9277</v>
      </c>
      <c r="G1596" s="6" t="s">
        <v>81</v>
      </c>
      <c r="H1596" s="6" t="s">
        <v>99</v>
      </c>
      <c r="I1596" s="8"/>
      <c r="J1596" s="9">
        <v>1</v>
      </c>
      <c r="K1596" s="9">
        <v>240</v>
      </c>
      <c r="L1596" s="9">
        <v>2022</v>
      </c>
      <c r="M1596" s="8" t="s">
        <v>9278</v>
      </c>
      <c r="N1596" s="8" t="s">
        <v>42</v>
      </c>
      <c r="O1596" s="8" t="s">
        <v>101</v>
      </c>
      <c r="P1596" s="6" t="s">
        <v>44</v>
      </c>
      <c r="Q1596" s="8" t="s">
        <v>45</v>
      </c>
      <c r="R1596" s="10" t="s">
        <v>9279</v>
      </c>
      <c r="S1596" s="11"/>
      <c r="T1596" s="6"/>
      <c r="U1596" s="24" t="str">
        <f>HYPERLINK("https://media.infra-m.ru/2054/2054986/cover/2054986.jpg", "Обложка")</f>
        <v>Обложка</v>
      </c>
      <c r="V1596" s="24" t="str">
        <f>HYPERLINK("https://znanium.ru/catalog/product/1856796", "Ознакомиться")</f>
        <v>Ознакомиться</v>
      </c>
      <c r="W1596" s="8" t="s">
        <v>103</v>
      </c>
      <c r="X1596" s="6"/>
      <c r="Y1596" s="6"/>
      <c r="Z1596" s="6"/>
      <c r="AA1596" s="6" t="s">
        <v>76</v>
      </c>
      <c r="AB1596" s="8"/>
    </row>
    <row r="1597" spans="1:28" s="4" customFormat="1" ht="42" customHeight="1">
      <c r="A1597" s="5">
        <v>0</v>
      </c>
      <c r="B1597" s="6" t="s">
        <v>9280</v>
      </c>
      <c r="C1597" s="7">
        <v>1128</v>
      </c>
      <c r="D1597" s="8" t="s">
        <v>9281</v>
      </c>
      <c r="E1597" s="8" t="s">
        <v>9282</v>
      </c>
      <c r="F1597" s="8" t="s">
        <v>9283</v>
      </c>
      <c r="G1597" s="6" t="s">
        <v>132</v>
      </c>
      <c r="H1597" s="6" t="s">
        <v>39</v>
      </c>
      <c r="I1597" s="8" t="s">
        <v>40</v>
      </c>
      <c r="J1597" s="9">
        <v>1</v>
      </c>
      <c r="K1597" s="9">
        <v>185</v>
      </c>
      <c r="L1597" s="9">
        <v>2024</v>
      </c>
      <c r="M1597" s="8" t="s">
        <v>9284</v>
      </c>
      <c r="N1597" s="8" t="s">
        <v>42</v>
      </c>
      <c r="O1597" s="8" t="s">
        <v>101</v>
      </c>
      <c r="P1597" s="6" t="s">
        <v>44</v>
      </c>
      <c r="Q1597" s="8" t="s">
        <v>45</v>
      </c>
      <c r="R1597" s="10" t="s">
        <v>2490</v>
      </c>
      <c r="S1597" s="11"/>
      <c r="T1597" s="6"/>
      <c r="U1597" s="24" t="str">
        <f>HYPERLINK("https://media.infra-m.ru/2099/2099009/cover/2099009.jpg", "Обложка")</f>
        <v>Обложка</v>
      </c>
      <c r="V1597" s="24" t="str">
        <f>HYPERLINK("https://znanium.ru/catalog/product/2099009", "Ознакомиться")</f>
        <v>Ознакомиться</v>
      </c>
      <c r="W1597" s="8" t="s">
        <v>846</v>
      </c>
      <c r="X1597" s="6"/>
      <c r="Y1597" s="6"/>
      <c r="Z1597" s="6"/>
      <c r="AA1597" s="6" t="s">
        <v>58</v>
      </c>
      <c r="AB1597" s="8"/>
    </row>
    <row r="1598" spans="1:28" s="4" customFormat="1" ht="42" customHeight="1">
      <c r="A1598" s="5">
        <v>0</v>
      </c>
      <c r="B1598" s="6" t="s">
        <v>9285</v>
      </c>
      <c r="C1598" s="7">
        <v>3352.8</v>
      </c>
      <c r="D1598" s="8" t="s">
        <v>9286</v>
      </c>
      <c r="E1598" s="8" t="s">
        <v>9287</v>
      </c>
      <c r="F1598" s="8" t="s">
        <v>9288</v>
      </c>
      <c r="G1598" s="6" t="s">
        <v>81</v>
      </c>
      <c r="H1598" s="6" t="s">
        <v>99</v>
      </c>
      <c r="I1598" s="8"/>
      <c r="J1598" s="9">
        <v>1</v>
      </c>
      <c r="K1598" s="9">
        <v>688</v>
      </c>
      <c r="L1598" s="9">
        <v>2025</v>
      </c>
      <c r="M1598" s="8" t="s">
        <v>9289</v>
      </c>
      <c r="N1598" s="8" t="s">
        <v>42</v>
      </c>
      <c r="O1598" s="8" t="s">
        <v>101</v>
      </c>
      <c r="P1598" s="6" t="s">
        <v>44</v>
      </c>
      <c r="Q1598" s="8" t="s">
        <v>45</v>
      </c>
      <c r="R1598" s="10" t="s">
        <v>2490</v>
      </c>
      <c r="S1598" s="11"/>
      <c r="T1598" s="6"/>
      <c r="U1598" s="24" t="str">
        <f>HYPERLINK("https://media.infra-m.ru/2206/2206126/cover/2206126.jpg", "Обложка")</f>
        <v>Обложка</v>
      </c>
      <c r="V1598" s="24" t="str">
        <f>HYPERLINK("https://znanium.ru/catalog/product/2206126", "Ознакомиться")</f>
        <v>Ознакомиться</v>
      </c>
      <c r="W1598" s="8" t="s">
        <v>1627</v>
      </c>
      <c r="X1598" s="6"/>
      <c r="Y1598" s="6"/>
      <c r="Z1598" s="6"/>
      <c r="AA1598" s="6" t="s">
        <v>168</v>
      </c>
      <c r="AB1598" s="8"/>
    </row>
    <row r="1599" spans="1:28" s="4" customFormat="1" ht="42" customHeight="1">
      <c r="A1599" s="5">
        <v>0</v>
      </c>
      <c r="B1599" s="6" t="s">
        <v>9290</v>
      </c>
      <c r="C1599" s="7">
        <v>2935.2</v>
      </c>
      <c r="D1599" s="8" t="s">
        <v>9291</v>
      </c>
      <c r="E1599" s="8" t="s">
        <v>9292</v>
      </c>
      <c r="F1599" s="8" t="s">
        <v>9288</v>
      </c>
      <c r="G1599" s="6" t="s">
        <v>132</v>
      </c>
      <c r="H1599" s="6" t="s">
        <v>99</v>
      </c>
      <c r="I1599" s="8"/>
      <c r="J1599" s="9">
        <v>1</v>
      </c>
      <c r="K1599" s="9">
        <v>672</v>
      </c>
      <c r="L1599" s="9">
        <v>2025</v>
      </c>
      <c r="M1599" s="8" t="s">
        <v>9293</v>
      </c>
      <c r="N1599" s="8" t="s">
        <v>42</v>
      </c>
      <c r="O1599" s="8" t="s">
        <v>101</v>
      </c>
      <c r="P1599" s="6" t="s">
        <v>44</v>
      </c>
      <c r="Q1599" s="8"/>
      <c r="R1599" s="10" t="s">
        <v>874</v>
      </c>
      <c r="S1599" s="11"/>
      <c r="T1599" s="6"/>
      <c r="U1599" s="24" t="str">
        <f>HYPERLINK("https://media.infra-m.ru/2169/2169370/cover/2169370.jpg", "Обложка")</f>
        <v>Обложка</v>
      </c>
      <c r="V1599" s="24" t="str">
        <f>HYPERLINK("https://znanium.ru/catalog/product/1876886", "Ознакомиться")</f>
        <v>Ознакомиться</v>
      </c>
      <c r="W1599" s="8" t="s">
        <v>1627</v>
      </c>
      <c r="X1599" s="6"/>
      <c r="Y1599" s="6"/>
      <c r="Z1599" s="6"/>
      <c r="AA1599" s="6" t="s">
        <v>119</v>
      </c>
      <c r="AB1599" s="8"/>
    </row>
    <row r="1600" spans="1:28" s="4" customFormat="1" ht="42" customHeight="1">
      <c r="A1600" s="5">
        <v>0</v>
      </c>
      <c r="B1600" s="6" t="s">
        <v>9294</v>
      </c>
      <c r="C1600" s="7">
        <v>2970</v>
      </c>
      <c r="D1600" s="8" t="s">
        <v>9295</v>
      </c>
      <c r="E1600" s="8" t="s">
        <v>9296</v>
      </c>
      <c r="F1600" s="8" t="s">
        <v>9288</v>
      </c>
      <c r="G1600" s="6" t="s">
        <v>132</v>
      </c>
      <c r="H1600" s="6" t="s">
        <v>99</v>
      </c>
      <c r="I1600" s="8"/>
      <c r="J1600" s="9">
        <v>1</v>
      </c>
      <c r="K1600" s="9">
        <v>872</v>
      </c>
      <c r="L1600" s="9">
        <v>2023</v>
      </c>
      <c r="M1600" s="8" t="s">
        <v>9297</v>
      </c>
      <c r="N1600" s="8" t="s">
        <v>42</v>
      </c>
      <c r="O1600" s="8" t="s">
        <v>101</v>
      </c>
      <c r="P1600" s="6" t="s">
        <v>44</v>
      </c>
      <c r="Q1600" s="8"/>
      <c r="R1600" s="10" t="s">
        <v>874</v>
      </c>
      <c r="S1600" s="11"/>
      <c r="T1600" s="6"/>
      <c r="U1600" s="24" t="str">
        <f>HYPERLINK("https://media.infra-m.ru/1915/1915697/cover/1915697.jpg", "Обложка")</f>
        <v>Обложка</v>
      </c>
      <c r="V1600" s="24" t="str">
        <f>HYPERLINK("https://znanium.ru/catalog/product/1874937", "Ознакомиться")</f>
        <v>Ознакомиться</v>
      </c>
      <c r="W1600" s="8" t="s">
        <v>1627</v>
      </c>
      <c r="X1600" s="6"/>
      <c r="Y1600" s="6"/>
      <c r="Z1600" s="6"/>
      <c r="AA1600" s="6" t="s">
        <v>119</v>
      </c>
      <c r="AB1600" s="8"/>
    </row>
    <row r="1601" spans="1:28" s="4" customFormat="1" ht="51.95" customHeight="1">
      <c r="A1601" s="5">
        <v>0</v>
      </c>
      <c r="B1601" s="6" t="s">
        <v>9298</v>
      </c>
      <c r="C1601" s="7">
        <v>3564</v>
      </c>
      <c r="D1601" s="8" t="s">
        <v>9299</v>
      </c>
      <c r="E1601" s="8" t="s">
        <v>9300</v>
      </c>
      <c r="F1601" s="8" t="s">
        <v>9288</v>
      </c>
      <c r="G1601" s="6" t="s">
        <v>132</v>
      </c>
      <c r="H1601" s="6" t="s">
        <v>99</v>
      </c>
      <c r="I1601" s="8"/>
      <c r="J1601" s="9">
        <v>1</v>
      </c>
      <c r="K1601" s="9">
        <v>1056</v>
      </c>
      <c r="L1601" s="9">
        <v>2025</v>
      </c>
      <c r="M1601" s="8" t="s">
        <v>9301</v>
      </c>
      <c r="N1601" s="8" t="s">
        <v>42</v>
      </c>
      <c r="O1601" s="8" t="s">
        <v>101</v>
      </c>
      <c r="P1601" s="6" t="s">
        <v>44</v>
      </c>
      <c r="Q1601" s="8" t="s">
        <v>45</v>
      </c>
      <c r="R1601" s="10" t="s">
        <v>9302</v>
      </c>
      <c r="S1601" s="11"/>
      <c r="T1601" s="6"/>
      <c r="U1601" s="24" t="str">
        <f>HYPERLINK("https://media.infra-m.ru/2212/2212553/cover/2212553.jpg", "Обложка")</f>
        <v>Обложка</v>
      </c>
      <c r="V1601" s="24" t="str">
        <f>HYPERLINK("https://znanium.ru/catalog/product/2197995", "Ознакомиться")</f>
        <v>Ознакомиться</v>
      </c>
      <c r="W1601" s="8" t="s">
        <v>1627</v>
      </c>
      <c r="X1601" s="6"/>
      <c r="Y1601" s="6"/>
      <c r="Z1601" s="6"/>
      <c r="AA1601" s="6" t="s">
        <v>159</v>
      </c>
      <c r="AB1601" s="8"/>
    </row>
    <row r="1602" spans="1:28" s="4" customFormat="1" ht="42" customHeight="1">
      <c r="A1602" s="5">
        <v>0</v>
      </c>
      <c r="B1602" s="6" t="s">
        <v>9303</v>
      </c>
      <c r="C1602" s="7">
        <v>3072</v>
      </c>
      <c r="D1602" s="8" t="s">
        <v>9304</v>
      </c>
      <c r="E1602" s="8" t="s">
        <v>9305</v>
      </c>
      <c r="F1602" s="8" t="s">
        <v>9288</v>
      </c>
      <c r="G1602" s="6" t="s">
        <v>132</v>
      </c>
      <c r="H1602" s="6" t="s">
        <v>99</v>
      </c>
      <c r="I1602" s="8"/>
      <c r="J1602" s="9">
        <v>1</v>
      </c>
      <c r="K1602" s="9">
        <v>512</v>
      </c>
      <c r="L1602" s="9">
        <v>2025</v>
      </c>
      <c r="M1602" s="8" t="s">
        <v>9306</v>
      </c>
      <c r="N1602" s="8" t="s">
        <v>42</v>
      </c>
      <c r="O1602" s="8" t="s">
        <v>101</v>
      </c>
      <c r="P1602" s="6" t="s">
        <v>44</v>
      </c>
      <c r="Q1602" s="8" t="s">
        <v>45</v>
      </c>
      <c r="R1602" s="10" t="s">
        <v>269</v>
      </c>
      <c r="S1602" s="11"/>
      <c r="T1602" s="6"/>
      <c r="U1602" s="24" t="str">
        <f>HYPERLINK("https://media.infra-m.ru/2173/2173935/cover/2173935.jpg", "Обложка")</f>
        <v>Обложка</v>
      </c>
      <c r="V1602" s="24" t="str">
        <f>HYPERLINK("https://znanium.ru/catalog/product/2173935", "Ознакомиться")</f>
        <v>Ознакомиться</v>
      </c>
      <c r="W1602" s="8" t="s">
        <v>1627</v>
      </c>
      <c r="X1602" s="6"/>
      <c r="Y1602" s="6"/>
      <c r="Z1602" s="6"/>
      <c r="AA1602" s="6" t="s">
        <v>68</v>
      </c>
      <c r="AB1602" s="8"/>
    </row>
    <row r="1603" spans="1:28" s="4" customFormat="1" ht="42" customHeight="1">
      <c r="A1603" s="5">
        <v>0</v>
      </c>
      <c r="B1603" s="6" t="s">
        <v>9307</v>
      </c>
      <c r="C1603" s="7">
        <v>3360</v>
      </c>
      <c r="D1603" s="8" t="s">
        <v>9308</v>
      </c>
      <c r="E1603" s="8" t="s">
        <v>9309</v>
      </c>
      <c r="F1603" s="8" t="s">
        <v>9288</v>
      </c>
      <c r="G1603" s="6" t="s">
        <v>132</v>
      </c>
      <c r="H1603" s="6" t="s">
        <v>99</v>
      </c>
      <c r="I1603" s="8"/>
      <c r="J1603" s="9">
        <v>1</v>
      </c>
      <c r="K1603" s="9">
        <v>1088</v>
      </c>
      <c r="L1603" s="9">
        <v>2025</v>
      </c>
      <c r="M1603" s="8" t="s">
        <v>9310</v>
      </c>
      <c r="N1603" s="8" t="s">
        <v>42</v>
      </c>
      <c r="O1603" s="8" t="s">
        <v>101</v>
      </c>
      <c r="P1603" s="6" t="s">
        <v>44</v>
      </c>
      <c r="Q1603" s="8" t="s">
        <v>45</v>
      </c>
      <c r="R1603" s="10" t="s">
        <v>269</v>
      </c>
      <c r="S1603" s="11"/>
      <c r="T1603" s="6"/>
      <c r="U1603" s="24" t="str">
        <f>HYPERLINK("https://media.infra-m.ru/2173/2173938/cover/2173938.jpg", "Обложка")</f>
        <v>Обложка</v>
      </c>
      <c r="V1603" s="24" t="str">
        <f>HYPERLINK("https://znanium.ru/catalog/product/2173938", "Ознакомиться")</f>
        <v>Ознакомиться</v>
      </c>
      <c r="W1603" s="8" t="s">
        <v>1627</v>
      </c>
      <c r="X1603" s="6"/>
      <c r="Y1603" s="6"/>
      <c r="Z1603" s="6"/>
      <c r="AA1603" s="6" t="s">
        <v>68</v>
      </c>
      <c r="AB1603" s="8"/>
    </row>
    <row r="1604" spans="1:28" s="4" customFormat="1" ht="51.95" customHeight="1">
      <c r="A1604" s="5">
        <v>0</v>
      </c>
      <c r="B1604" s="6" t="s">
        <v>9311</v>
      </c>
      <c r="C1604" s="7">
        <v>4158</v>
      </c>
      <c r="D1604" s="8" t="s">
        <v>9312</v>
      </c>
      <c r="E1604" s="8" t="s">
        <v>9313</v>
      </c>
      <c r="F1604" s="8" t="s">
        <v>9288</v>
      </c>
      <c r="G1604" s="6" t="s">
        <v>132</v>
      </c>
      <c r="H1604" s="6" t="s">
        <v>99</v>
      </c>
      <c r="I1604" s="8"/>
      <c r="J1604" s="9">
        <v>1</v>
      </c>
      <c r="K1604" s="9">
        <v>1176</v>
      </c>
      <c r="L1604" s="9">
        <v>2025</v>
      </c>
      <c r="M1604" s="8" t="s">
        <v>9314</v>
      </c>
      <c r="N1604" s="8" t="s">
        <v>42</v>
      </c>
      <c r="O1604" s="8" t="s">
        <v>101</v>
      </c>
      <c r="P1604" s="6" t="s">
        <v>44</v>
      </c>
      <c r="Q1604" s="8" t="s">
        <v>3884</v>
      </c>
      <c r="R1604" s="10" t="s">
        <v>9315</v>
      </c>
      <c r="S1604" s="11"/>
      <c r="T1604" s="6"/>
      <c r="U1604" s="24" t="str">
        <f>HYPERLINK("https://media.infra-m.ru/2212/2212554/cover/2212554.jpg", "Обложка")</f>
        <v>Обложка</v>
      </c>
      <c r="V1604" s="24" t="str">
        <f>HYPERLINK("https://znanium.ru/catalog/product/2203146", "Ознакомиться")</f>
        <v>Ознакомиться</v>
      </c>
      <c r="W1604" s="8" t="s">
        <v>1627</v>
      </c>
      <c r="X1604" s="6"/>
      <c r="Y1604" s="6"/>
      <c r="Z1604" s="6"/>
      <c r="AA1604" s="6" t="s">
        <v>159</v>
      </c>
      <c r="AB1604" s="8"/>
    </row>
    <row r="1605" spans="1:28" s="4" customFormat="1" ht="51.95" customHeight="1">
      <c r="A1605" s="5">
        <v>0</v>
      </c>
      <c r="B1605" s="6" t="s">
        <v>9316</v>
      </c>
      <c r="C1605" s="7">
        <v>1728</v>
      </c>
      <c r="D1605" s="8" t="s">
        <v>9317</v>
      </c>
      <c r="E1605" s="8" t="s">
        <v>9318</v>
      </c>
      <c r="F1605" s="8" t="s">
        <v>9319</v>
      </c>
      <c r="G1605" s="6" t="s">
        <v>132</v>
      </c>
      <c r="H1605" s="6" t="s">
        <v>39</v>
      </c>
      <c r="I1605" s="8" t="s">
        <v>40</v>
      </c>
      <c r="J1605" s="9">
        <v>1</v>
      </c>
      <c r="K1605" s="9">
        <v>318</v>
      </c>
      <c r="L1605" s="9">
        <v>2023</v>
      </c>
      <c r="M1605" s="8" t="s">
        <v>9320</v>
      </c>
      <c r="N1605" s="8" t="s">
        <v>42</v>
      </c>
      <c r="O1605" s="8" t="s">
        <v>101</v>
      </c>
      <c r="P1605" s="6" t="s">
        <v>44</v>
      </c>
      <c r="Q1605" s="8" t="s">
        <v>45</v>
      </c>
      <c r="R1605" s="10" t="s">
        <v>608</v>
      </c>
      <c r="S1605" s="11"/>
      <c r="T1605" s="6"/>
      <c r="U1605" s="24" t="str">
        <f>HYPERLINK("https://media.infra-m.ru/2030/2030734/cover/2030734.jpg", "Обложка")</f>
        <v>Обложка</v>
      </c>
      <c r="V1605" s="24" t="str">
        <f>HYPERLINK("https://znanium.ru/catalog/product/2030734", "Ознакомиться")</f>
        <v>Ознакомиться</v>
      </c>
      <c r="W1605" s="8" t="s">
        <v>2491</v>
      </c>
      <c r="X1605" s="6"/>
      <c r="Y1605" s="6"/>
      <c r="Z1605" s="6"/>
      <c r="AA1605" s="6" t="s">
        <v>119</v>
      </c>
      <c r="AB1605" s="8"/>
    </row>
    <row r="1606" spans="1:28" s="4" customFormat="1" ht="51.95" customHeight="1">
      <c r="A1606" s="5">
        <v>0</v>
      </c>
      <c r="B1606" s="6" t="s">
        <v>9321</v>
      </c>
      <c r="C1606" s="7">
        <v>1128</v>
      </c>
      <c r="D1606" s="8" t="s">
        <v>9322</v>
      </c>
      <c r="E1606" s="8" t="s">
        <v>9323</v>
      </c>
      <c r="F1606" s="8" t="s">
        <v>9324</v>
      </c>
      <c r="G1606" s="6" t="s">
        <v>132</v>
      </c>
      <c r="H1606" s="6" t="s">
        <v>39</v>
      </c>
      <c r="I1606" s="8" t="s">
        <v>40</v>
      </c>
      <c r="J1606" s="9">
        <v>1</v>
      </c>
      <c r="K1606" s="9">
        <v>239</v>
      </c>
      <c r="L1606" s="9">
        <v>2022</v>
      </c>
      <c r="M1606" s="8" t="s">
        <v>9325</v>
      </c>
      <c r="N1606" s="8" t="s">
        <v>42</v>
      </c>
      <c r="O1606" s="8" t="s">
        <v>101</v>
      </c>
      <c r="P1606" s="6" t="s">
        <v>44</v>
      </c>
      <c r="Q1606" s="8" t="s">
        <v>45</v>
      </c>
      <c r="R1606" s="10" t="s">
        <v>9326</v>
      </c>
      <c r="S1606" s="11"/>
      <c r="T1606" s="6"/>
      <c r="U1606" s="24" t="str">
        <f>HYPERLINK("https://media.infra-m.ru/1692/1692575/cover/1692575.jpg", "Обложка")</f>
        <v>Обложка</v>
      </c>
      <c r="V1606" s="24" t="str">
        <f>HYPERLINK("https://znanium.ru/catalog/product/1692575", "Ознакомиться")</f>
        <v>Ознакомиться</v>
      </c>
      <c r="W1606" s="8"/>
      <c r="X1606" s="6"/>
      <c r="Y1606" s="6"/>
      <c r="Z1606" s="6"/>
      <c r="AA1606" s="6" t="s">
        <v>111</v>
      </c>
      <c r="AB1606" s="8"/>
    </row>
    <row r="1607" spans="1:28" s="4" customFormat="1" ht="42" customHeight="1">
      <c r="A1607" s="5">
        <v>0</v>
      </c>
      <c r="B1607" s="6" t="s">
        <v>9327</v>
      </c>
      <c r="C1607" s="7">
        <v>1560</v>
      </c>
      <c r="D1607" s="8" t="s">
        <v>9328</v>
      </c>
      <c r="E1607" s="8" t="s">
        <v>9329</v>
      </c>
      <c r="F1607" s="8" t="s">
        <v>9330</v>
      </c>
      <c r="G1607" s="6" t="s">
        <v>132</v>
      </c>
      <c r="H1607" s="6" t="s">
        <v>39</v>
      </c>
      <c r="I1607" s="8" t="s">
        <v>164</v>
      </c>
      <c r="J1607" s="9">
        <v>1</v>
      </c>
      <c r="K1607" s="9">
        <v>234</v>
      </c>
      <c r="L1607" s="9">
        <v>2026</v>
      </c>
      <c r="M1607" s="8" t="s">
        <v>9331</v>
      </c>
      <c r="N1607" s="8" t="s">
        <v>54</v>
      </c>
      <c r="O1607" s="8" t="s">
        <v>55</v>
      </c>
      <c r="P1607" s="6" t="s">
        <v>44</v>
      </c>
      <c r="Q1607" s="8" t="s">
        <v>45</v>
      </c>
      <c r="R1607" s="10" t="s">
        <v>9332</v>
      </c>
      <c r="S1607" s="11"/>
      <c r="T1607" s="6"/>
      <c r="U1607" s="24" t="str">
        <f>HYPERLINK("https://media.infra-m.ru/2204/2204422/cover/2204422.jpg", "Обложка")</f>
        <v>Обложка</v>
      </c>
      <c r="V1607" s="24" t="str">
        <f>HYPERLINK("https://znanium.ru/catalog/product/2204422", "Ознакомиться")</f>
        <v>Ознакомиться</v>
      </c>
      <c r="W1607" s="8" t="s">
        <v>810</v>
      </c>
      <c r="X1607" s="6" t="s">
        <v>838</v>
      </c>
      <c r="Y1607" s="6"/>
      <c r="Z1607" s="6"/>
      <c r="AA1607" s="6" t="s">
        <v>833</v>
      </c>
      <c r="AB1607" s="8"/>
    </row>
    <row r="1608" spans="1:28" s="4" customFormat="1" ht="51.95" customHeight="1">
      <c r="A1608" s="5">
        <v>0</v>
      </c>
      <c r="B1608" s="6" t="s">
        <v>9333</v>
      </c>
      <c r="C1608" s="13">
        <v>744</v>
      </c>
      <c r="D1608" s="8" t="s">
        <v>9334</v>
      </c>
      <c r="E1608" s="8" t="s">
        <v>9335</v>
      </c>
      <c r="F1608" s="8" t="s">
        <v>9336</v>
      </c>
      <c r="G1608" s="6" t="s">
        <v>38</v>
      </c>
      <c r="H1608" s="6" t="s">
        <v>39</v>
      </c>
      <c r="I1608" s="8" t="s">
        <v>40</v>
      </c>
      <c r="J1608" s="9">
        <v>1</v>
      </c>
      <c r="K1608" s="9">
        <v>130</v>
      </c>
      <c r="L1608" s="9">
        <v>2024</v>
      </c>
      <c r="M1608" s="8" t="s">
        <v>9337</v>
      </c>
      <c r="N1608" s="8" t="s">
        <v>54</v>
      </c>
      <c r="O1608" s="8" t="s">
        <v>55</v>
      </c>
      <c r="P1608" s="6" t="s">
        <v>44</v>
      </c>
      <c r="Q1608" s="8" t="s">
        <v>45</v>
      </c>
      <c r="R1608" s="10" t="s">
        <v>9338</v>
      </c>
      <c r="S1608" s="11"/>
      <c r="T1608" s="6"/>
      <c r="U1608" s="24" t="str">
        <f>HYPERLINK("https://media.infra-m.ru/2136/2136967/cover/2136967.jpg", "Обложка")</f>
        <v>Обложка</v>
      </c>
      <c r="V1608" s="24" t="str">
        <f>HYPERLINK("https://znanium.ru/catalog/product/2136967", "Ознакомиться")</f>
        <v>Ознакомиться</v>
      </c>
      <c r="W1608" s="8" t="s">
        <v>9339</v>
      </c>
      <c r="X1608" s="6"/>
      <c r="Y1608" s="6"/>
      <c r="Z1608" s="6"/>
      <c r="AA1608" s="6" t="s">
        <v>68</v>
      </c>
      <c r="AB1608" s="8" t="s">
        <v>9340</v>
      </c>
    </row>
    <row r="1609" spans="1:28" s="4" customFormat="1" ht="42" customHeight="1">
      <c r="A1609" s="5">
        <v>0</v>
      </c>
      <c r="B1609" s="6" t="s">
        <v>9341</v>
      </c>
      <c r="C1609" s="7">
        <v>2628</v>
      </c>
      <c r="D1609" s="8" t="s">
        <v>9342</v>
      </c>
      <c r="E1609" s="8" t="s">
        <v>9343</v>
      </c>
      <c r="F1609" s="8" t="s">
        <v>9344</v>
      </c>
      <c r="G1609" s="6" t="s">
        <v>132</v>
      </c>
      <c r="H1609" s="6" t="s">
        <v>39</v>
      </c>
      <c r="I1609" s="8" t="s">
        <v>40</v>
      </c>
      <c r="J1609" s="9">
        <v>1</v>
      </c>
      <c r="K1609" s="9">
        <v>431</v>
      </c>
      <c r="L1609" s="9">
        <v>2025</v>
      </c>
      <c r="M1609" s="8" t="s">
        <v>9345</v>
      </c>
      <c r="N1609" s="8" t="s">
        <v>42</v>
      </c>
      <c r="O1609" s="8" t="s">
        <v>101</v>
      </c>
      <c r="P1609" s="6" t="s">
        <v>44</v>
      </c>
      <c r="Q1609" s="8" t="s">
        <v>45</v>
      </c>
      <c r="R1609" s="10" t="s">
        <v>269</v>
      </c>
      <c r="S1609" s="11"/>
      <c r="T1609" s="6"/>
      <c r="U1609" s="24" t="str">
        <f>HYPERLINK("https://media.infra-m.ru/2168/2168621/cover/2168621.jpg", "Обложка")</f>
        <v>Обложка</v>
      </c>
      <c r="V1609" s="24" t="str">
        <f>HYPERLINK("https://znanium.ru/catalog/product/2168621", "Ознакомиться")</f>
        <v>Ознакомиться</v>
      </c>
      <c r="W1609" s="8" t="s">
        <v>418</v>
      </c>
      <c r="X1609" s="6" t="s">
        <v>3436</v>
      </c>
      <c r="Y1609" s="6"/>
      <c r="Z1609" s="6"/>
      <c r="AA1609" s="6" t="s">
        <v>159</v>
      </c>
      <c r="AB1609" s="8"/>
    </row>
    <row r="1610" spans="1:28" s="4" customFormat="1" ht="51.95" customHeight="1">
      <c r="A1610" s="5">
        <v>0</v>
      </c>
      <c r="B1610" s="6" t="s">
        <v>9346</v>
      </c>
      <c r="C1610" s="7">
        <v>2570.3000000000002</v>
      </c>
      <c r="D1610" s="8" t="s">
        <v>9347</v>
      </c>
      <c r="E1610" s="8" t="s">
        <v>9348</v>
      </c>
      <c r="F1610" s="8" t="s">
        <v>9349</v>
      </c>
      <c r="G1610" s="6" t="s">
        <v>132</v>
      </c>
      <c r="H1610" s="6" t="s">
        <v>99</v>
      </c>
      <c r="I1610" s="8"/>
      <c r="J1610" s="9">
        <v>8</v>
      </c>
      <c r="K1610" s="9">
        <v>704</v>
      </c>
      <c r="L1610" s="9">
        <v>2018</v>
      </c>
      <c r="M1610" s="8" t="s">
        <v>9350</v>
      </c>
      <c r="N1610" s="8" t="s">
        <v>42</v>
      </c>
      <c r="O1610" s="8" t="s">
        <v>101</v>
      </c>
      <c r="P1610" s="6" t="s">
        <v>44</v>
      </c>
      <c r="Q1610" s="8" t="s">
        <v>416</v>
      </c>
      <c r="R1610" s="10" t="s">
        <v>9351</v>
      </c>
      <c r="S1610" s="11"/>
      <c r="T1610" s="6"/>
      <c r="U1610" s="24" t="str">
        <f>HYPERLINK("https://media.infra-m.ru/0958/0958924/cover/958924.jpg", "Обложка")</f>
        <v>Обложка</v>
      </c>
      <c r="V1610" s="24" t="str">
        <f>HYPERLINK("https://znanium.ru/catalog/product/1071794", "Ознакомиться")</f>
        <v>Ознакомиться</v>
      </c>
      <c r="W1610" s="8" t="s">
        <v>103</v>
      </c>
      <c r="X1610" s="6"/>
      <c r="Y1610" s="6"/>
      <c r="Z1610" s="6"/>
      <c r="AA1610" s="6" t="s">
        <v>1494</v>
      </c>
      <c r="AB1610" s="8"/>
    </row>
    <row r="1611" spans="1:28" s="4" customFormat="1" ht="42" customHeight="1">
      <c r="A1611" s="5">
        <v>0</v>
      </c>
      <c r="B1611" s="6" t="s">
        <v>9352</v>
      </c>
      <c r="C1611" s="7">
        <v>1704</v>
      </c>
      <c r="D1611" s="8" t="s">
        <v>9353</v>
      </c>
      <c r="E1611" s="8" t="s">
        <v>9354</v>
      </c>
      <c r="F1611" s="8" t="s">
        <v>6219</v>
      </c>
      <c r="G1611" s="6" t="s">
        <v>81</v>
      </c>
      <c r="H1611" s="6" t="s">
        <v>99</v>
      </c>
      <c r="I1611" s="8"/>
      <c r="J1611" s="9">
        <v>1</v>
      </c>
      <c r="K1611" s="9">
        <v>364</v>
      </c>
      <c r="L1611" s="9">
        <v>2022</v>
      </c>
      <c r="M1611" s="8" t="s">
        <v>9355</v>
      </c>
      <c r="N1611" s="8" t="s">
        <v>42</v>
      </c>
      <c r="O1611" s="8" t="s">
        <v>101</v>
      </c>
      <c r="P1611" s="6" t="s">
        <v>44</v>
      </c>
      <c r="Q1611" s="8" t="s">
        <v>45</v>
      </c>
      <c r="R1611" s="10" t="s">
        <v>269</v>
      </c>
      <c r="S1611" s="11"/>
      <c r="T1611" s="6"/>
      <c r="U1611" s="24" t="str">
        <f>HYPERLINK("https://media.infra-m.ru/1862/1862400/cover/1862400.jpg", "Обложка")</f>
        <v>Обложка</v>
      </c>
      <c r="V1611" s="24" t="str">
        <f>HYPERLINK("https://znanium.ru/catalog/product/1926364", "Ознакомиться")</f>
        <v>Ознакомиться</v>
      </c>
      <c r="W1611" s="8" t="s">
        <v>565</v>
      </c>
      <c r="X1611" s="6"/>
      <c r="Y1611" s="6"/>
      <c r="Z1611" s="6"/>
      <c r="AA1611" s="6" t="s">
        <v>111</v>
      </c>
      <c r="AB1611" s="8"/>
    </row>
    <row r="1612" spans="1:28" s="4" customFormat="1" ht="42" customHeight="1">
      <c r="A1612" s="5">
        <v>0</v>
      </c>
      <c r="B1612" s="6" t="s">
        <v>9356</v>
      </c>
      <c r="C1612" s="7">
        <v>3828</v>
      </c>
      <c r="D1612" s="8" t="s">
        <v>9357</v>
      </c>
      <c r="E1612" s="8" t="s">
        <v>9358</v>
      </c>
      <c r="F1612" s="8" t="s">
        <v>6219</v>
      </c>
      <c r="G1612" s="6" t="s">
        <v>81</v>
      </c>
      <c r="H1612" s="6" t="s">
        <v>99</v>
      </c>
      <c r="I1612" s="8"/>
      <c r="J1612" s="9">
        <v>1</v>
      </c>
      <c r="K1612" s="9">
        <v>624</v>
      </c>
      <c r="L1612" s="9">
        <v>2025</v>
      </c>
      <c r="M1612" s="8" t="s">
        <v>9359</v>
      </c>
      <c r="N1612" s="8" t="s">
        <v>42</v>
      </c>
      <c r="O1612" s="8" t="s">
        <v>101</v>
      </c>
      <c r="P1612" s="6" t="s">
        <v>44</v>
      </c>
      <c r="Q1612" s="8" t="s">
        <v>45</v>
      </c>
      <c r="R1612" s="10" t="s">
        <v>269</v>
      </c>
      <c r="S1612" s="11"/>
      <c r="T1612" s="6"/>
      <c r="U1612" s="24" t="str">
        <f>HYPERLINK("https://media.infra-m.ru/2188/2188395/cover/2188395.jpg", "Обложка")</f>
        <v>Обложка</v>
      </c>
      <c r="V1612" s="24" t="str">
        <f>HYPERLINK("https://znanium.ru/catalog/product/1926364", "Ознакомиться")</f>
        <v>Ознакомиться</v>
      </c>
      <c r="W1612" s="8" t="s">
        <v>565</v>
      </c>
      <c r="X1612" s="6" t="s">
        <v>306</v>
      </c>
      <c r="Y1612" s="6"/>
      <c r="Z1612" s="6"/>
      <c r="AA1612" s="6" t="s">
        <v>725</v>
      </c>
      <c r="AB1612" s="8"/>
    </row>
    <row r="1613" spans="1:28" s="4" customFormat="1" ht="42" customHeight="1">
      <c r="A1613" s="5">
        <v>0</v>
      </c>
      <c r="B1613" s="6" t="s">
        <v>9360</v>
      </c>
      <c r="C1613" s="7">
        <v>1236</v>
      </c>
      <c r="D1613" s="8" t="s">
        <v>9361</v>
      </c>
      <c r="E1613" s="8" t="s">
        <v>9362</v>
      </c>
      <c r="F1613" s="8" t="s">
        <v>9363</v>
      </c>
      <c r="G1613" s="6" t="s">
        <v>81</v>
      </c>
      <c r="H1613" s="6" t="s">
        <v>99</v>
      </c>
      <c r="I1613" s="8"/>
      <c r="J1613" s="9">
        <v>1</v>
      </c>
      <c r="K1613" s="9">
        <v>224</v>
      </c>
      <c r="L1613" s="9">
        <v>2024</v>
      </c>
      <c r="M1613" s="8" t="s">
        <v>9364</v>
      </c>
      <c r="N1613" s="8" t="s">
        <v>42</v>
      </c>
      <c r="O1613" s="8" t="s">
        <v>101</v>
      </c>
      <c r="P1613" s="6" t="s">
        <v>44</v>
      </c>
      <c r="Q1613" s="8" t="s">
        <v>45</v>
      </c>
      <c r="R1613" s="10" t="s">
        <v>874</v>
      </c>
      <c r="S1613" s="11"/>
      <c r="T1613" s="6" t="s">
        <v>1080</v>
      </c>
      <c r="U1613" s="24" t="str">
        <f>HYPERLINK("https://media.infra-m.ru/2126/2126342/cover/2126342.jpg", "Обложка")</f>
        <v>Обложка</v>
      </c>
      <c r="V1613" s="24" t="str">
        <f>HYPERLINK("https://znanium.ru/catalog/product/2126342", "Ознакомиться")</f>
        <v>Ознакомиться</v>
      </c>
      <c r="W1613" s="8" t="s">
        <v>103</v>
      </c>
      <c r="X1613" s="6"/>
      <c r="Y1613" s="6"/>
      <c r="Z1613" s="6"/>
      <c r="AA1613" s="6" t="s">
        <v>68</v>
      </c>
      <c r="AB1613" s="8"/>
    </row>
    <row r="1614" spans="1:28" s="4" customFormat="1" ht="51.95" customHeight="1">
      <c r="A1614" s="5">
        <v>0</v>
      </c>
      <c r="B1614" s="6" t="s">
        <v>9365</v>
      </c>
      <c r="C1614" s="7">
        <v>2140.8000000000002</v>
      </c>
      <c r="D1614" s="8" t="s">
        <v>9366</v>
      </c>
      <c r="E1614" s="8" t="s">
        <v>9367</v>
      </c>
      <c r="F1614" s="8" t="s">
        <v>9368</v>
      </c>
      <c r="G1614" s="6" t="s">
        <v>132</v>
      </c>
      <c r="H1614" s="6" t="s">
        <v>99</v>
      </c>
      <c r="I1614" s="8"/>
      <c r="J1614" s="9">
        <v>1</v>
      </c>
      <c r="K1614" s="9">
        <v>344</v>
      </c>
      <c r="L1614" s="9">
        <v>2026</v>
      </c>
      <c r="M1614" s="8" t="s">
        <v>9369</v>
      </c>
      <c r="N1614" s="8" t="s">
        <v>42</v>
      </c>
      <c r="O1614" s="8" t="s">
        <v>101</v>
      </c>
      <c r="P1614" s="6" t="s">
        <v>580</v>
      </c>
      <c r="Q1614" s="8" t="s">
        <v>45</v>
      </c>
      <c r="R1614" s="10" t="s">
        <v>9370</v>
      </c>
      <c r="S1614" s="11"/>
      <c r="T1614" s="6"/>
      <c r="U1614" s="24" t="str">
        <f>HYPERLINK("https://media.infra-m.ru/2215/2215911/cover/2215911.jpg", "Обложка")</f>
        <v>Обложка</v>
      </c>
      <c r="V1614" s="24" t="str">
        <f>HYPERLINK("https://znanium.ru/catalog/product/1904427", "Ознакомиться")</f>
        <v>Ознакомиться</v>
      </c>
      <c r="W1614" s="8" t="s">
        <v>103</v>
      </c>
      <c r="X1614" s="6"/>
      <c r="Y1614" s="6"/>
      <c r="Z1614" s="6"/>
      <c r="AA1614" s="6" t="s">
        <v>111</v>
      </c>
      <c r="AB1614" s="8"/>
    </row>
    <row r="1615" spans="1:28" s="4" customFormat="1" ht="42" customHeight="1">
      <c r="A1615" s="5">
        <v>0</v>
      </c>
      <c r="B1615" s="6" t="s">
        <v>9371</v>
      </c>
      <c r="C1615" s="7">
        <v>1656</v>
      </c>
      <c r="D1615" s="8" t="s">
        <v>9372</v>
      </c>
      <c r="E1615" s="8" t="s">
        <v>9373</v>
      </c>
      <c r="F1615" s="8" t="s">
        <v>9374</v>
      </c>
      <c r="G1615" s="6" t="s">
        <v>81</v>
      </c>
      <c r="H1615" s="6" t="s">
        <v>39</v>
      </c>
      <c r="I1615" s="8" t="s">
        <v>336</v>
      </c>
      <c r="J1615" s="9">
        <v>1</v>
      </c>
      <c r="K1615" s="9">
        <v>224</v>
      </c>
      <c r="L1615" s="9">
        <v>2026</v>
      </c>
      <c r="M1615" s="8" t="s">
        <v>9375</v>
      </c>
      <c r="N1615" s="8" t="s">
        <v>42</v>
      </c>
      <c r="O1615" s="8" t="s">
        <v>101</v>
      </c>
      <c r="P1615" s="6" t="s">
        <v>44</v>
      </c>
      <c r="Q1615" s="8" t="s">
        <v>45</v>
      </c>
      <c r="R1615" s="10" t="s">
        <v>9376</v>
      </c>
      <c r="S1615" s="11"/>
      <c r="T1615" s="6"/>
      <c r="U1615" s="24" t="str">
        <f>HYPERLINK("https://media.infra-m.ru/2231/2231280/cover/2231280.jpg", "Обложка")</f>
        <v>Обложка</v>
      </c>
      <c r="V1615" s="24" t="str">
        <f>HYPERLINK("https://znanium.ru/catalog/product/2231280", "Ознакомиться")</f>
        <v>Ознакомиться</v>
      </c>
      <c r="W1615" s="8" t="s">
        <v>103</v>
      </c>
      <c r="X1615" s="6"/>
      <c r="Y1615" s="6"/>
      <c r="Z1615" s="6"/>
      <c r="AA1615" s="6" t="s">
        <v>159</v>
      </c>
      <c r="AB1615" s="8"/>
    </row>
    <row r="1616" spans="1:28" s="4" customFormat="1" ht="44.1" customHeight="1">
      <c r="A1616" s="5">
        <v>0</v>
      </c>
      <c r="B1616" s="6" t="s">
        <v>9377</v>
      </c>
      <c r="C1616" s="7">
        <v>2320.8000000000002</v>
      </c>
      <c r="D1616" s="8" t="s">
        <v>9378</v>
      </c>
      <c r="E1616" s="8" t="s">
        <v>9379</v>
      </c>
      <c r="F1616" s="8" t="s">
        <v>9380</v>
      </c>
      <c r="G1616" s="6" t="s">
        <v>38</v>
      </c>
      <c r="H1616" s="6" t="s">
        <v>39</v>
      </c>
      <c r="I1616" s="8" t="s">
        <v>40</v>
      </c>
      <c r="J1616" s="9">
        <v>1</v>
      </c>
      <c r="K1616" s="9">
        <v>372</v>
      </c>
      <c r="L1616" s="9">
        <v>2025</v>
      </c>
      <c r="M1616" s="8" t="s">
        <v>9381</v>
      </c>
      <c r="N1616" s="8" t="s">
        <v>229</v>
      </c>
      <c r="O1616" s="8" t="s">
        <v>230</v>
      </c>
      <c r="P1616" s="6" t="s">
        <v>44</v>
      </c>
      <c r="Q1616" s="8" t="s">
        <v>45</v>
      </c>
      <c r="R1616" s="10" t="s">
        <v>9382</v>
      </c>
      <c r="S1616" s="11"/>
      <c r="T1616" s="6"/>
      <c r="U1616" s="24" t="str">
        <f>HYPERLINK("https://media.infra-m.ru/2204/2204891/cover/2204891.jpg", "Обложка")</f>
        <v>Обложка</v>
      </c>
      <c r="V1616" s="24" t="str">
        <f>HYPERLINK("https://znanium.ru/catalog/product/1007072", "Ознакомиться")</f>
        <v>Ознакомиться</v>
      </c>
      <c r="W1616" s="8" t="s">
        <v>4777</v>
      </c>
      <c r="X1616" s="6"/>
      <c r="Y1616" s="6"/>
      <c r="Z1616" s="6"/>
      <c r="AA1616" s="6" t="s">
        <v>168</v>
      </c>
      <c r="AB1616" s="8"/>
    </row>
    <row r="1617" spans="1:28" s="4" customFormat="1" ht="44.1" customHeight="1">
      <c r="A1617" s="5">
        <v>0</v>
      </c>
      <c r="B1617" s="6" t="s">
        <v>9383</v>
      </c>
      <c r="C1617" s="13">
        <v>472.8</v>
      </c>
      <c r="D1617" s="8" t="s">
        <v>9384</v>
      </c>
      <c r="E1617" s="8" t="s">
        <v>9385</v>
      </c>
      <c r="F1617" s="8" t="s">
        <v>9386</v>
      </c>
      <c r="G1617" s="6" t="s">
        <v>38</v>
      </c>
      <c r="H1617" s="6" t="s">
        <v>39</v>
      </c>
      <c r="I1617" s="8" t="s">
        <v>40</v>
      </c>
      <c r="J1617" s="9">
        <v>1</v>
      </c>
      <c r="K1617" s="9">
        <v>84</v>
      </c>
      <c r="L1617" s="9">
        <v>2024</v>
      </c>
      <c r="M1617" s="8" t="s">
        <v>9387</v>
      </c>
      <c r="N1617" s="8" t="s">
        <v>42</v>
      </c>
      <c r="O1617" s="8" t="s">
        <v>189</v>
      </c>
      <c r="P1617" s="6" t="s">
        <v>44</v>
      </c>
      <c r="Q1617" s="8" t="s">
        <v>45</v>
      </c>
      <c r="R1617" s="10" t="s">
        <v>3205</v>
      </c>
      <c r="S1617" s="11"/>
      <c r="T1617" s="6"/>
      <c r="U1617" s="24" t="str">
        <f>HYPERLINK("https://media.infra-m.ru/2117/2117139/cover/2117139.jpg", "Обложка")</f>
        <v>Обложка</v>
      </c>
      <c r="V1617" s="12"/>
      <c r="W1617" s="8" t="s">
        <v>886</v>
      </c>
      <c r="X1617" s="6"/>
      <c r="Y1617" s="6"/>
      <c r="Z1617" s="6"/>
      <c r="AA1617" s="6" t="s">
        <v>127</v>
      </c>
      <c r="AB1617" s="8"/>
    </row>
    <row r="1618" spans="1:28" s="4" customFormat="1" ht="44.1" customHeight="1">
      <c r="A1618" s="5">
        <v>0</v>
      </c>
      <c r="B1618" s="6" t="s">
        <v>9388</v>
      </c>
      <c r="C1618" s="7">
        <v>1128</v>
      </c>
      <c r="D1618" s="8" t="s">
        <v>9389</v>
      </c>
      <c r="E1618" s="8" t="s">
        <v>9390</v>
      </c>
      <c r="F1618" s="8" t="s">
        <v>9391</v>
      </c>
      <c r="G1618" s="6" t="s">
        <v>38</v>
      </c>
      <c r="H1618" s="6" t="s">
        <v>182</v>
      </c>
      <c r="I1618" s="8" t="s">
        <v>40</v>
      </c>
      <c r="J1618" s="9">
        <v>1</v>
      </c>
      <c r="K1618" s="9">
        <v>207</v>
      </c>
      <c r="L1618" s="9">
        <v>2019</v>
      </c>
      <c r="M1618" s="8" t="s">
        <v>9392</v>
      </c>
      <c r="N1618" s="8" t="s">
        <v>42</v>
      </c>
      <c r="O1618" s="8" t="s">
        <v>246</v>
      </c>
      <c r="P1618" s="6" t="s">
        <v>44</v>
      </c>
      <c r="Q1618" s="8" t="s">
        <v>45</v>
      </c>
      <c r="R1618" s="10" t="s">
        <v>9393</v>
      </c>
      <c r="S1618" s="11"/>
      <c r="T1618" s="6" t="s">
        <v>1080</v>
      </c>
      <c r="U1618" s="24" t="str">
        <f>HYPERLINK("https://media.infra-m.ru/1003/1003263/cover/1003263.jpg", "Обложка")</f>
        <v>Обложка</v>
      </c>
      <c r="V1618" s="24" t="str">
        <f>HYPERLINK("https://znanium.ru/catalog/product/1003263", "Ознакомиться")</f>
        <v>Ознакомиться</v>
      </c>
      <c r="W1618" s="8" t="s">
        <v>9394</v>
      </c>
      <c r="X1618" s="6"/>
      <c r="Y1618" s="6"/>
      <c r="Z1618" s="6"/>
      <c r="AA1618" s="6" t="s">
        <v>369</v>
      </c>
      <c r="AB1618" s="8"/>
    </row>
    <row r="1619" spans="1:28" s="4" customFormat="1" ht="42" customHeight="1">
      <c r="A1619" s="5">
        <v>0</v>
      </c>
      <c r="B1619" s="6" t="s">
        <v>9395</v>
      </c>
      <c r="C1619" s="7">
        <v>1241.9000000000001</v>
      </c>
      <c r="D1619" s="8" t="s">
        <v>9396</v>
      </c>
      <c r="E1619" s="8" t="s">
        <v>9397</v>
      </c>
      <c r="F1619" s="8" t="s">
        <v>9398</v>
      </c>
      <c r="G1619" s="6" t="s">
        <v>38</v>
      </c>
      <c r="H1619" s="6" t="s">
        <v>39</v>
      </c>
      <c r="I1619" s="8" t="s">
        <v>40</v>
      </c>
      <c r="J1619" s="9">
        <v>1</v>
      </c>
      <c r="K1619" s="9">
        <v>231</v>
      </c>
      <c r="L1619" s="9">
        <v>2023</v>
      </c>
      <c r="M1619" s="8" t="s">
        <v>9399</v>
      </c>
      <c r="N1619" s="8" t="s">
        <v>42</v>
      </c>
      <c r="O1619" s="8" t="s">
        <v>246</v>
      </c>
      <c r="P1619" s="6" t="s">
        <v>44</v>
      </c>
      <c r="Q1619" s="8" t="s">
        <v>45</v>
      </c>
      <c r="R1619" s="10" t="s">
        <v>1073</v>
      </c>
      <c r="S1619" s="11"/>
      <c r="T1619" s="6"/>
      <c r="U1619" s="24" t="str">
        <f>HYPERLINK("https://media.infra-m.ru/1976/1976169/cover/1976169.jpg", "Обложка")</f>
        <v>Обложка</v>
      </c>
      <c r="V1619" s="24" t="str">
        <f>HYPERLINK("https://znanium.ru/catalog/product/1022304", "Ознакомиться")</f>
        <v>Ознакомиться</v>
      </c>
      <c r="W1619" s="8" t="s">
        <v>3756</v>
      </c>
      <c r="X1619" s="6"/>
      <c r="Y1619" s="6"/>
      <c r="Z1619" s="6"/>
      <c r="AA1619" s="6" t="s">
        <v>168</v>
      </c>
      <c r="AB1619" s="8"/>
    </row>
    <row r="1620" spans="1:28" s="4" customFormat="1" ht="51.95" customHeight="1">
      <c r="A1620" s="5">
        <v>0</v>
      </c>
      <c r="B1620" s="6" t="s">
        <v>9400</v>
      </c>
      <c r="C1620" s="7">
        <v>2188.8000000000002</v>
      </c>
      <c r="D1620" s="8" t="s">
        <v>9401</v>
      </c>
      <c r="E1620" s="8" t="s">
        <v>9402</v>
      </c>
      <c r="F1620" s="8" t="s">
        <v>9403</v>
      </c>
      <c r="G1620" s="6" t="s">
        <v>38</v>
      </c>
      <c r="H1620" s="6" t="s">
        <v>39</v>
      </c>
      <c r="I1620" s="8" t="s">
        <v>40</v>
      </c>
      <c r="J1620" s="9">
        <v>1</v>
      </c>
      <c r="K1620" s="9">
        <v>403</v>
      </c>
      <c r="L1620" s="9">
        <v>2023</v>
      </c>
      <c r="M1620" s="8" t="s">
        <v>9404</v>
      </c>
      <c r="N1620" s="8" t="s">
        <v>229</v>
      </c>
      <c r="O1620" s="8" t="s">
        <v>230</v>
      </c>
      <c r="P1620" s="6" t="s">
        <v>44</v>
      </c>
      <c r="Q1620" s="8" t="s">
        <v>45</v>
      </c>
      <c r="R1620" s="10" t="s">
        <v>9405</v>
      </c>
      <c r="S1620" s="11"/>
      <c r="T1620" s="6"/>
      <c r="U1620" s="24" t="str">
        <f>HYPERLINK("https://media.infra-m.ru/2021/2021411/cover/2021411.jpg", "Обложка")</f>
        <v>Обложка</v>
      </c>
      <c r="V1620" s="24" t="str">
        <f>HYPERLINK("https://znanium.ru/catalog/product/1031176", "Ознакомиться")</f>
        <v>Ознакомиться</v>
      </c>
      <c r="W1620" s="8" t="s">
        <v>7706</v>
      </c>
      <c r="X1620" s="6"/>
      <c r="Y1620" s="6"/>
      <c r="Z1620" s="6"/>
      <c r="AA1620" s="6" t="s">
        <v>168</v>
      </c>
      <c r="AB1620" s="8"/>
    </row>
    <row r="1621" spans="1:28" s="4" customFormat="1" ht="42" customHeight="1">
      <c r="A1621" s="5">
        <v>0</v>
      </c>
      <c r="B1621" s="6" t="s">
        <v>9406</v>
      </c>
      <c r="C1621" s="13">
        <v>792</v>
      </c>
      <c r="D1621" s="8" t="s">
        <v>9407</v>
      </c>
      <c r="E1621" s="8" t="s">
        <v>9408</v>
      </c>
      <c r="F1621" s="8" t="s">
        <v>9409</v>
      </c>
      <c r="G1621" s="6" t="s">
        <v>38</v>
      </c>
      <c r="H1621" s="6" t="s">
        <v>39</v>
      </c>
      <c r="I1621" s="8" t="s">
        <v>40</v>
      </c>
      <c r="J1621" s="9">
        <v>1</v>
      </c>
      <c r="K1621" s="9">
        <v>142</v>
      </c>
      <c r="L1621" s="9">
        <v>2024</v>
      </c>
      <c r="M1621" s="8" t="s">
        <v>9410</v>
      </c>
      <c r="N1621" s="8" t="s">
        <v>220</v>
      </c>
      <c r="O1621" s="8" t="s">
        <v>296</v>
      </c>
      <c r="P1621" s="6" t="s">
        <v>44</v>
      </c>
      <c r="Q1621" s="8" t="s">
        <v>45</v>
      </c>
      <c r="R1621" s="10" t="s">
        <v>9411</v>
      </c>
      <c r="S1621" s="11"/>
      <c r="T1621" s="6"/>
      <c r="U1621" s="24" t="str">
        <f>HYPERLINK("https://media.infra-m.ru/2131/2131763/cover/2131763.jpg", "Обложка")</f>
        <v>Обложка</v>
      </c>
      <c r="V1621" s="24" t="str">
        <f>HYPERLINK("https://znanium.ru/catalog/product/2131763", "Ознакомиться")</f>
        <v>Ознакомиться</v>
      </c>
      <c r="W1621" s="8" t="s">
        <v>1362</v>
      </c>
      <c r="X1621" s="6"/>
      <c r="Y1621" s="6"/>
      <c r="Z1621" s="6"/>
      <c r="AA1621" s="6" t="s">
        <v>127</v>
      </c>
      <c r="AB1621" s="8"/>
    </row>
    <row r="1622" spans="1:28" s="4" customFormat="1" ht="44.1" customHeight="1">
      <c r="A1622" s="5">
        <v>0</v>
      </c>
      <c r="B1622" s="6" t="s">
        <v>9412</v>
      </c>
      <c r="C1622" s="7">
        <v>1072.8</v>
      </c>
      <c r="D1622" s="8" t="s">
        <v>9413</v>
      </c>
      <c r="E1622" s="8" t="s">
        <v>9414</v>
      </c>
      <c r="F1622" s="8" t="s">
        <v>9415</v>
      </c>
      <c r="G1622" s="6" t="s">
        <v>38</v>
      </c>
      <c r="H1622" s="6" t="s">
        <v>39</v>
      </c>
      <c r="I1622" s="8" t="s">
        <v>164</v>
      </c>
      <c r="J1622" s="9">
        <v>1</v>
      </c>
      <c r="K1622" s="9">
        <v>177</v>
      </c>
      <c r="L1622" s="9">
        <v>2025</v>
      </c>
      <c r="M1622" s="8" t="s">
        <v>9416</v>
      </c>
      <c r="N1622" s="8" t="s">
        <v>42</v>
      </c>
      <c r="O1622" s="8" t="s">
        <v>246</v>
      </c>
      <c r="P1622" s="6" t="s">
        <v>44</v>
      </c>
      <c r="Q1622" s="8" t="s">
        <v>45</v>
      </c>
      <c r="R1622" s="10" t="s">
        <v>502</v>
      </c>
      <c r="S1622" s="11"/>
      <c r="T1622" s="6"/>
      <c r="U1622" s="24" t="str">
        <f>HYPERLINK("https://media.infra-m.ru/2180/2180431/cover/2180431.jpg", "Обложка")</f>
        <v>Обложка</v>
      </c>
      <c r="V1622" s="24" t="str">
        <f>HYPERLINK("https://znanium.ru/catalog/product/2178525", "Ознакомиться")</f>
        <v>Ознакомиться</v>
      </c>
      <c r="W1622" s="8" t="s">
        <v>167</v>
      </c>
      <c r="X1622" s="6"/>
      <c r="Y1622" s="6"/>
      <c r="Z1622" s="6"/>
      <c r="AA1622" s="6" t="s">
        <v>168</v>
      </c>
      <c r="AB1622" s="8"/>
    </row>
    <row r="1623" spans="1:28" s="4" customFormat="1" ht="44.1" customHeight="1">
      <c r="A1623" s="5">
        <v>0</v>
      </c>
      <c r="B1623" s="6" t="s">
        <v>9417</v>
      </c>
      <c r="C1623" s="7">
        <v>1248</v>
      </c>
      <c r="D1623" s="8" t="s">
        <v>9418</v>
      </c>
      <c r="E1623" s="8" t="s">
        <v>9419</v>
      </c>
      <c r="F1623" s="8" t="s">
        <v>9420</v>
      </c>
      <c r="G1623" s="6" t="s">
        <v>38</v>
      </c>
      <c r="H1623" s="6" t="s">
        <v>39</v>
      </c>
      <c r="I1623" s="8" t="s">
        <v>40</v>
      </c>
      <c r="J1623" s="9">
        <v>1</v>
      </c>
      <c r="K1623" s="9">
        <v>217</v>
      </c>
      <c r="L1623" s="9">
        <v>2023</v>
      </c>
      <c r="M1623" s="8" t="s">
        <v>9421</v>
      </c>
      <c r="N1623" s="8" t="s">
        <v>42</v>
      </c>
      <c r="O1623" s="8" t="s">
        <v>189</v>
      </c>
      <c r="P1623" s="6" t="s">
        <v>44</v>
      </c>
      <c r="Q1623" s="8" t="s">
        <v>45</v>
      </c>
      <c r="R1623" s="10" t="s">
        <v>9422</v>
      </c>
      <c r="S1623" s="11"/>
      <c r="T1623" s="6"/>
      <c r="U1623" s="24" t="str">
        <f>HYPERLINK("https://media.infra-m.ru/1914/1914700/cover/1914700.jpg", "Обложка")</f>
        <v>Обложка</v>
      </c>
      <c r="V1623" s="24" t="str">
        <f>HYPERLINK("https://znanium.ru/catalog/product/1914700", "Ознакомиться")</f>
        <v>Ознакомиться</v>
      </c>
      <c r="W1623" s="8" t="s">
        <v>207</v>
      </c>
      <c r="X1623" s="6"/>
      <c r="Y1623" s="6"/>
      <c r="Z1623" s="6"/>
      <c r="AA1623" s="6" t="s">
        <v>111</v>
      </c>
      <c r="AB1623" s="8"/>
    </row>
    <row r="1624" spans="1:28" s="4" customFormat="1" ht="44.1" customHeight="1">
      <c r="A1624" s="5">
        <v>0</v>
      </c>
      <c r="B1624" s="6" t="s">
        <v>9423</v>
      </c>
      <c r="C1624" s="7">
        <v>1193.9000000000001</v>
      </c>
      <c r="D1624" s="8" t="s">
        <v>9424</v>
      </c>
      <c r="E1624" s="8" t="s">
        <v>9425</v>
      </c>
      <c r="F1624" s="8" t="s">
        <v>9426</v>
      </c>
      <c r="G1624" s="6" t="s">
        <v>38</v>
      </c>
      <c r="H1624" s="6" t="s">
        <v>39</v>
      </c>
      <c r="I1624" s="8" t="s">
        <v>40</v>
      </c>
      <c r="J1624" s="9">
        <v>1</v>
      </c>
      <c r="K1624" s="9">
        <v>212</v>
      </c>
      <c r="L1624" s="9">
        <v>2023</v>
      </c>
      <c r="M1624" s="8" t="s">
        <v>9427</v>
      </c>
      <c r="N1624" s="8" t="s">
        <v>229</v>
      </c>
      <c r="O1624" s="8" t="s">
        <v>230</v>
      </c>
      <c r="P1624" s="6" t="s">
        <v>44</v>
      </c>
      <c r="Q1624" s="8" t="s">
        <v>45</v>
      </c>
      <c r="R1624" s="10" t="s">
        <v>7513</v>
      </c>
      <c r="S1624" s="11"/>
      <c r="T1624" s="6"/>
      <c r="U1624" s="24" t="str">
        <f>HYPERLINK("https://media.infra-m.ru/1915/1915662/cover/1915662.jpg", "Обложка")</f>
        <v>Обложка</v>
      </c>
      <c r="V1624" s="24" t="str">
        <f>HYPERLINK("https://znanium.ru/catalog/product/1876368", "Ознакомиться")</f>
        <v>Ознакомиться</v>
      </c>
      <c r="W1624" s="8" t="s">
        <v>93</v>
      </c>
      <c r="X1624" s="6"/>
      <c r="Y1624" s="6"/>
      <c r="Z1624" s="6"/>
      <c r="AA1624" s="6" t="s">
        <v>119</v>
      </c>
      <c r="AB1624" s="8"/>
    </row>
    <row r="1625" spans="1:28" s="4" customFormat="1" ht="51.95" customHeight="1">
      <c r="A1625" s="5">
        <v>0</v>
      </c>
      <c r="B1625" s="6" t="s">
        <v>9428</v>
      </c>
      <c r="C1625" s="7">
        <v>1432.8</v>
      </c>
      <c r="D1625" s="8" t="s">
        <v>9429</v>
      </c>
      <c r="E1625" s="8" t="s">
        <v>9430</v>
      </c>
      <c r="F1625" s="8" t="s">
        <v>9431</v>
      </c>
      <c r="G1625" s="6" t="s">
        <v>38</v>
      </c>
      <c r="H1625" s="6" t="s">
        <v>99</v>
      </c>
      <c r="I1625" s="8"/>
      <c r="J1625" s="9">
        <v>1</v>
      </c>
      <c r="K1625" s="9">
        <v>240</v>
      </c>
      <c r="L1625" s="9">
        <v>2025</v>
      </c>
      <c r="M1625" s="8" t="s">
        <v>9432</v>
      </c>
      <c r="N1625" s="8" t="s">
        <v>42</v>
      </c>
      <c r="O1625" s="8" t="s">
        <v>101</v>
      </c>
      <c r="P1625" s="6" t="s">
        <v>44</v>
      </c>
      <c r="Q1625" s="8" t="s">
        <v>45</v>
      </c>
      <c r="R1625" s="10" t="s">
        <v>9433</v>
      </c>
      <c r="S1625" s="11"/>
      <c r="T1625" s="6"/>
      <c r="U1625" s="24" t="str">
        <f>HYPERLINK("https://media.infra-m.ru/2169/2169372/cover/2169372.jpg", "Обложка")</f>
        <v>Обложка</v>
      </c>
      <c r="V1625" s="24" t="str">
        <f>HYPERLINK("https://znanium.ru/catalog/product/989509", "Ознакомиться")</f>
        <v>Ознакомиться</v>
      </c>
      <c r="W1625" s="8" t="s">
        <v>1594</v>
      </c>
      <c r="X1625" s="6"/>
      <c r="Y1625" s="6"/>
      <c r="Z1625" s="6"/>
      <c r="AA1625" s="6" t="s">
        <v>377</v>
      </c>
      <c r="AB1625" s="8"/>
    </row>
    <row r="1626" spans="1:28" s="4" customFormat="1" ht="44.1" customHeight="1">
      <c r="A1626" s="5">
        <v>0</v>
      </c>
      <c r="B1626" s="6" t="s">
        <v>9434</v>
      </c>
      <c r="C1626" s="13">
        <v>581.9</v>
      </c>
      <c r="D1626" s="8" t="s">
        <v>9435</v>
      </c>
      <c r="E1626" s="8" t="s">
        <v>9436</v>
      </c>
      <c r="F1626" s="8" t="s">
        <v>9437</v>
      </c>
      <c r="G1626" s="6" t="s">
        <v>38</v>
      </c>
      <c r="H1626" s="6" t="s">
        <v>182</v>
      </c>
      <c r="I1626" s="8"/>
      <c r="J1626" s="9">
        <v>1</v>
      </c>
      <c r="K1626" s="9">
        <v>118</v>
      </c>
      <c r="L1626" s="9">
        <v>2021</v>
      </c>
      <c r="M1626" s="8" t="s">
        <v>9438</v>
      </c>
      <c r="N1626" s="8" t="s">
        <v>42</v>
      </c>
      <c r="O1626" s="8" t="s">
        <v>101</v>
      </c>
      <c r="P1626" s="6" t="s">
        <v>44</v>
      </c>
      <c r="Q1626" s="8" t="s">
        <v>45</v>
      </c>
      <c r="R1626" s="10" t="s">
        <v>9439</v>
      </c>
      <c r="S1626" s="11"/>
      <c r="T1626" s="6"/>
      <c r="U1626" s="24" t="str">
        <f>HYPERLINK("https://media.infra-m.ru/1844/1844468/cover/1844468.jpg", "Обложка")</f>
        <v>Обложка</v>
      </c>
      <c r="V1626" s="24" t="str">
        <f>HYPERLINK("https://znanium.ru/catalog/product/1222072", "Ознакомиться")</f>
        <v>Ознакомиться</v>
      </c>
      <c r="W1626" s="8" t="s">
        <v>9440</v>
      </c>
      <c r="X1626" s="6"/>
      <c r="Y1626" s="6"/>
      <c r="Z1626" s="6"/>
      <c r="AA1626" s="6" t="s">
        <v>68</v>
      </c>
      <c r="AB1626" s="8"/>
    </row>
    <row r="1627" spans="1:28" s="4" customFormat="1" ht="42" customHeight="1">
      <c r="A1627" s="5">
        <v>0</v>
      </c>
      <c r="B1627" s="6" t="s">
        <v>9441</v>
      </c>
      <c r="C1627" s="13">
        <v>660</v>
      </c>
      <c r="D1627" s="8" t="s">
        <v>9442</v>
      </c>
      <c r="E1627" s="8" t="s">
        <v>9443</v>
      </c>
      <c r="F1627" s="8" t="s">
        <v>9444</v>
      </c>
      <c r="G1627" s="6" t="s">
        <v>38</v>
      </c>
      <c r="H1627" s="6" t="s">
        <v>39</v>
      </c>
      <c r="I1627" s="8" t="s">
        <v>40</v>
      </c>
      <c r="J1627" s="9">
        <v>1</v>
      </c>
      <c r="K1627" s="9">
        <v>140</v>
      </c>
      <c r="L1627" s="9">
        <v>2022</v>
      </c>
      <c r="M1627" s="8" t="s">
        <v>9445</v>
      </c>
      <c r="N1627" s="8" t="s">
        <v>229</v>
      </c>
      <c r="O1627" s="8" t="s">
        <v>230</v>
      </c>
      <c r="P1627" s="6" t="s">
        <v>44</v>
      </c>
      <c r="Q1627" s="8" t="s">
        <v>45</v>
      </c>
      <c r="R1627" s="10" t="s">
        <v>9446</v>
      </c>
      <c r="S1627" s="11"/>
      <c r="T1627" s="6"/>
      <c r="U1627" s="24" t="str">
        <f>HYPERLINK("https://media.infra-m.ru/1850/1850138/cover/1850138.jpg", "Обложка")</f>
        <v>Обложка</v>
      </c>
      <c r="V1627" s="24" t="str">
        <f>HYPERLINK("https://znanium.ru/catalog/product/1850138", "Ознакомиться")</f>
        <v>Ознакомиться</v>
      </c>
      <c r="W1627" s="8" t="s">
        <v>1049</v>
      </c>
      <c r="X1627" s="6"/>
      <c r="Y1627" s="6"/>
      <c r="Z1627" s="6"/>
      <c r="AA1627" s="6" t="s">
        <v>177</v>
      </c>
      <c r="AB1627" s="8"/>
    </row>
    <row r="1628" spans="1:28" s="4" customFormat="1" ht="42" customHeight="1">
      <c r="A1628" s="5">
        <v>0</v>
      </c>
      <c r="B1628" s="6" t="s">
        <v>9447</v>
      </c>
      <c r="C1628" s="13">
        <v>528</v>
      </c>
      <c r="D1628" s="8" t="s">
        <v>9448</v>
      </c>
      <c r="E1628" s="8" t="s">
        <v>9449</v>
      </c>
      <c r="F1628" s="8" t="s">
        <v>9444</v>
      </c>
      <c r="G1628" s="6" t="s">
        <v>38</v>
      </c>
      <c r="H1628" s="6" t="s">
        <v>39</v>
      </c>
      <c r="I1628" s="8" t="s">
        <v>40</v>
      </c>
      <c r="J1628" s="9">
        <v>1</v>
      </c>
      <c r="K1628" s="9">
        <v>140</v>
      </c>
      <c r="L1628" s="9">
        <v>2017</v>
      </c>
      <c r="M1628" s="8" t="s">
        <v>9450</v>
      </c>
      <c r="N1628" s="8" t="s">
        <v>229</v>
      </c>
      <c r="O1628" s="8" t="s">
        <v>230</v>
      </c>
      <c r="P1628" s="6" t="s">
        <v>44</v>
      </c>
      <c r="Q1628" s="8" t="s">
        <v>45</v>
      </c>
      <c r="R1628" s="10" t="s">
        <v>9446</v>
      </c>
      <c r="S1628" s="11"/>
      <c r="T1628" s="6"/>
      <c r="U1628" s="24" t="str">
        <f>HYPERLINK("https://media.infra-m.ru/0854/0854334/cover/854334.jpg", "Обложка")</f>
        <v>Обложка</v>
      </c>
      <c r="V1628" s="24" t="str">
        <f>HYPERLINK("https://znanium.ru/catalog/product/1850138", "Ознакомиться")</f>
        <v>Ознакомиться</v>
      </c>
      <c r="W1628" s="8" t="s">
        <v>1049</v>
      </c>
      <c r="X1628" s="6"/>
      <c r="Y1628" s="6"/>
      <c r="Z1628" s="6"/>
      <c r="AA1628" s="6" t="s">
        <v>339</v>
      </c>
      <c r="AB1628" s="8"/>
    </row>
    <row r="1629" spans="1:28" s="4" customFormat="1" ht="42" customHeight="1">
      <c r="A1629" s="5">
        <v>0</v>
      </c>
      <c r="B1629" s="6" t="s">
        <v>9451</v>
      </c>
      <c r="C1629" s="13">
        <v>936</v>
      </c>
      <c r="D1629" s="8" t="s">
        <v>9452</v>
      </c>
      <c r="E1629" s="8" t="s">
        <v>9453</v>
      </c>
      <c r="F1629" s="8" t="s">
        <v>4132</v>
      </c>
      <c r="G1629" s="6" t="s">
        <v>38</v>
      </c>
      <c r="H1629" s="6" t="s">
        <v>39</v>
      </c>
      <c r="I1629" s="8" t="s">
        <v>40</v>
      </c>
      <c r="J1629" s="9">
        <v>1</v>
      </c>
      <c r="K1629" s="9">
        <v>203</v>
      </c>
      <c r="L1629" s="9">
        <v>2021</v>
      </c>
      <c r="M1629" s="8" t="s">
        <v>9454</v>
      </c>
      <c r="N1629" s="8" t="s">
        <v>42</v>
      </c>
      <c r="O1629" s="8" t="s">
        <v>65</v>
      </c>
      <c r="P1629" s="6" t="s">
        <v>44</v>
      </c>
      <c r="Q1629" s="8" t="s">
        <v>45</v>
      </c>
      <c r="R1629" s="10" t="s">
        <v>9455</v>
      </c>
      <c r="S1629" s="11"/>
      <c r="T1629" s="6"/>
      <c r="U1629" s="24" t="str">
        <f>HYPERLINK("https://media.infra-m.ru/1213/1213788/cover/1213788.jpg", "Обложка")</f>
        <v>Обложка</v>
      </c>
      <c r="V1629" s="24" t="str">
        <f>HYPERLINK("https://znanium.ru/catalog/product/1213788", "Ознакомиться")</f>
        <v>Ознакомиться</v>
      </c>
      <c r="W1629" s="8" t="s">
        <v>3378</v>
      </c>
      <c r="X1629" s="6"/>
      <c r="Y1629" s="6"/>
      <c r="Z1629" s="6"/>
      <c r="AA1629" s="6" t="s">
        <v>1363</v>
      </c>
      <c r="AB1629" s="8" t="s">
        <v>3455</v>
      </c>
    </row>
    <row r="1630" spans="1:28" s="4" customFormat="1" ht="42" customHeight="1">
      <c r="A1630" s="5">
        <v>0</v>
      </c>
      <c r="B1630" s="6" t="s">
        <v>9456</v>
      </c>
      <c r="C1630" s="7">
        <v>1104</v>
      </c>
      <c r="D1630" s="8" t="s">
        <v>9457</v>
      </c>
      <c r="E1630" s="8" t="s">
        <v>9458</v>
      </c>
      <c r="F1630" s="8" t="s">
        <v>9459</v>
      </c>
      <c r="G1630" s="6" t="s">
        <v>81</v>
      </c>
      <c r="H1630" s="6" t="s">
        <v>39</v>
      </c>
      <c r="I1630" s="8"/>
      <c r="J1630" s="9">
        <v>1</v>
      </c>
      <c r="K1630" s="9">
        <v>249</v>
      </c>
      <c r="L1630" s="9">
        <v>2021</v>
      </c>
      <c r="M1630" s="8" t="s">
        <v>9460</v>
      </c>
      <c r="N1630" s="8" t="s">
        <v>42</v>
      </c>
      <c r="O1630" s="8" t="s">
        <v>101</v>
      </c>
      <c r="P1630" s="6" t="s">
        <v>44</v>
      </c>
      <c r="Q1630" s="8" t="s">
        <v>45</v>
      </c>
      <c r="R1630" s="10" t="s">
        <v>874</v>
      </c>
      <c r="S1630" s="11"/>
      <c r="T1630" s="6"/>
      <c r="U1630" s="24" t="str">
        <f>HYPERLINK("https://media.infra-m.ru/1230/1230615/cover/1230615.jpg", "Обложка")</f>
        <v>Обложка</v>
      </c>
      <c r="V1630" s="24" t="str">
        <f>HYPERLINK("https://znanium.ru/catalog/product/1230615", "Ознакомиться")</f>
        <v>Ознакомиться</v>
      </c>
      <c r="W1630" s="8" t="s">
        <v>3188</v>
      </c>
      <c r="X1630" s="6"/>
      <c r="Y1630" s="6"/>
      <c r="Z1630" s="6"/>
      <c r="AA1630" s="6" t="s">
        <v>1154</v>
      </c>
      <c r="AB1630" s="8"/>
    </row>
    <row r="1631" spans="1:28" s="4" customFormat="1" ht="51.95" customHeight="1">
      <c r="A1631" s="5">
        <v>0</v>
      </c>
      <c r="B1631" s="6" t="s">
        <v>9461</v>
      </c>
      <c r="C1631" s="7">
        <v>1672.8</v>
      </c>
      <c r="D1631" s="8" t="s">
        <v>9462</v>
      </c>
      <c r="E1631" s="8" t="s">
        <v>9463</v>
      </c>
      <c r="F1631" s="8" t="s">
        <v>5468</v>
      </c>
      <c r="G1631" s="6" t="s">
        <v>132</v>
      </c>
      <c r="H1631" s="6" t="s">
        <v>99</v>
      </c>
      <c r="I1631" s="8"/>
      <c r="J1631" s="9">
        <v>1</v>
      </c>
      <c r="K1631" s="9">
        <v>304</v>
      </c>
      <c r="L1631" s="9">
        <v>2024</v>
      </c>
      <c r="M1631" s="8" t="s">
        <v>9464</v>
      </c>
      <c r="N1631" s="8" t="s">
        <v>42</v>
      </c>
      <c r="O1631" s="8" t="s">
        <v>101</v>
      </c>
      <c r="P1631" s="6" t="s">
        <v>44</v>
      </c>
      <c r="Q1631" s="8" t="s">
        <v>1152</v>
      </c>
      <c r="R1631" s="10" t="s">
        <v>9465</v>
      </c>
      <c r="S1631" s="11"/>
      <c r="T1631" s="6"/>
      <c r="U1631" s="24" t="str">
        <f>HYPERLINK("https://media.infra-m.ru/2130/2130543/cover/2130543.jpg", "Обложка")</f>
        <v>Обложка</v>
      </c>
      <c r="V1631" s="24" t="str">
        <f>HYPERLINK("https://znanium.ru/catalog/product/1220452", "Ознакомиться")</f>
        <v>Ознакомиться</v>
      </c>
      <c r="W1631" s="8" t="s">
        <v>1861</v>
      </c>
      <c r="X1631" s="6"/>
      <c r="Y1631" s="6"/>
      <c r="Z1631" s="6"/>
      <c r="AA1631" s="6" t="s">
        <v>290</v>
      </c>
      <c r="AB1631" s="8"/>
    </row>
    <row r="1632" spans="1:28" s="4" customFormat="1" ht="42" customHeight="1">
      <c r="A1632" s="5">
        <v>0</v>
      </c>
      <c r="B1632" s="6" t="s">
        <v>9466</v>
      </c>
      <c r="C1632" s="7">
        <v>1080</v>
      </c>
      <c r="D1632" s="8" t="s">
        <v>9467</v>
      </c>
      <c r="E1632" s="8" t="s">
        <v>9468</v>
      </c>
      <c r="F1632" s="8" t="s">
        <v>9469</v>
      </c>
      <c r="G1632" s="6" t="s">
        <v>38</v>
      </c>
      <c r="H1632" s="6" t="s">
        <v>39</v>
      </c>
      <c r="I1632" s="8" t="s">
        <v>40</v>
      </c>
      <c r="J1632" s="9">
        <v>1</v>
      </c>
      <c r="K1632" s="9">
        <v>172</v>
      </c>
      <c r="L1632" s="9">
        <v>2025</v>
      </c>
      <c r="M1632" s="8" t="s">
        <v>9470</v>
      </c>
      <c r="N1632" s="8" t="s">
        <v>42</v>
      </c>
      <c r="O1632" s="8" t="s">
        <v>101</v>
      </c>
      <c r="P1632" s="6" t="s">
        <v>44</v>
      </c>
      <c r="Q1632" s="8" t="s">
        <v>45</v>
      </c>
      <c r="R1632" s="10" t="s">
        <v>564</v>
      </c>
      <c r="S1632" s="11"/>
      <c r="T1632" s="6"/>
      <c r="U1632" s="24" t="str">
        <f>HYPERLINK("https://media.infra-m.ru/2202/2202131/cover/2202131.jpg", "Обложка")</f>
        <v>Обложка</v>
      </c>
      <c r="V1632" s="24" t="str">
        <f>HYPERLINK("https://znanium.ru/catalog/product/2202131", "Ознакомиться")</f>
        <v>Ознакомиться</v>
      </c>
      <c r="W1632" s="8" t="s">
        <v>2448</v>
      </c>
      <c r="X1632" s="6"/>
      <c r="Y1632" s="6"/>
      <c r="Z1632" s="6"/>
      <c r="AA1632" s="6" t="s">
        <v>68</v>
      </c>
      <c r="AB1632" s="8"/>
    </row>
    <row r="1633" spans="1:28" s="4" customFormat="1" ht="42" customHeight="1">
      <c r="A1633" s="5">
        <v>0</v>
      </c>
      <c r="B1633" s="6" t="s">
        <v>9471</v>
      </c>
      <c r="C1633" s="7">
        <v>1888.8</v>
      </c>
      <c r="D1633" s="8" t="s">
        <v>9472</v>
      </c>
      <c r="E1633" s="8" t="s">
        <v>9473</v>
      </c>
      <c r="F1633" s="8" t="s">
        <v>9474</v>
      </c>
      <c r="G1633" s="6" t="s">
        <v>81</v>
      </c>
      <c r="H1633" s="6" t="s">
        <v>39</v>
      </c>
      <c r="I1633" s="8" t="s">
        <v>3186</v>
      </c>
      <c r="J1633" s="9">
        <v>1</v>
      </c>
      <c r="K1633" s="9">
        <v>314</v>
      </c>
      <c r="L1633" s="9">
        <v>2025</v>
      </c>
      <c r="M1633" s="8" t="s">
        <v>9475</v>
      </c>
      <c r="N1633" s="8" t="s">
        <v>42</v>
      </c>
      <c r="O1633" s="8" t="s">
        <v>101</v>
      </c>
      <c r="P1633" s="6" t="s">
        <v>44</v>
      </c>
      <c r="Q1633" s="8" t="s">
        <v>45</v>
      </c>
      <c r="R1633" s="10" t="s">
        <v>874</v>
      </c>
      <c r="S1633" s="11"/>
      <c r="T1633" s="6"/>
      <c r="U1633" s="24" t="str">
        <f>HYPERLINK("https://media.infra-m.ru/2185/2185119/cover/2185119.jpg", "Обложка")</f>
        <v>Обложка</v>
      </c>
      <c r="V1633" s="24" t="str">
        <f>HYPERLINK("https://znanium.ru/catalog/product/1905901", "Ознакомиться")</f>
        <v>Ознакомиться</v>
      </c>
      <c r="W1633" s="8" t="s">
        <v>3188</v>
      </c>
      <c r="X1633" s="6"/>
      <c r="Y1633" s="6"/>
      <c r="Z1633" s="6"/>
      <c r="AA1633" s="6" t="s">
        <v>2655</v>
      </c>
      <c r="AB1633" s="8"/>
    </row>
    <row r="1634" spans="1:28" s="4" customFormat="1" ht="42" customHeight="1">
      <c r="A1634" s="5">
        <v>0</v>
      </c>
      <c r="B1634" s="6" t="s">
        <v>9476</v>
      </c>
      <c r="C1634" s="7">
        <v>2152.8000000000002</v>
      </c>
      <c r="D1634" s="8" t="s">
        <v>9477</v>
      </c>
      <c r="E1634" s="8" t="s">
        <v>9478</v>
      </c>
      <c r="F1634" s="8" t="s">
        <v>9479</v>
      </c>
      <c r="G1634" s="6" t="s">
        <v>132</v>
      </c>
      <c r="H1634" s="6" t="s">
        <v>3369</v>
      </c>
      <c r="I1634" s="8" t="s">
        <v>3186</v>
      </c>
      <c r="J1634" s="9">
        <v>1</v>
      </c>
      <c r="K1634" s="9">
        <v>391</v>
      </c>
      <c r="L1634" s="9">
        <v>2024</v>
      </c>
      <c r="M1634" s="8" t="s">
        <v>9480</v>
      </c>
      <c r="N1634" s="8" t="s">
        <v>42</v>
      </c>
      <c r="O1634" s="8" t="s">
        <v>101</v>
      </c>
      <c r="P1634" s="6" t="s">
        <v>2307</v>
      </c>
      <c r="Q1634" s="8" t="s">
        <v>1058</v>
      </c>
      <c r="R1634" s="10" t="s">
        <v>874</v>
      </c>
      <c r="S1634" s="11"/>
      <c r="T1634" s="6"/>
      <c r="U1634" s="24" t="str">
        <f>HYPERLINK("https://media.infra-m.ru/2053/2053980/cover/2053980.jpg", "Обложка")</f>
        <v>Обложка</v>
      </c>
      <c r="V1634" s="24" t="str">
        <f>HYPERLINK("https://znanium.ru/catalog/product/2053980", "Ознакомиться")</f>
        <v>Ознакомиться</v>
      </c>
      <c r="W1634" s="8" t="s">
        <v>3188</v>
      </c>
      <c r="X1634" s="6"/>
      <c r="Y1634" s="6"/>
      <c r="Z1634" s="6"/>
      <c r="AA1634" s="6" t="s">
        <v>2655</v>
      </c>
      <c r="AB1634" s="8"/>
    </row>
    <row r="1635" spans="1:28" s="4" customFormat="1" ht="51.95" customHeight="1">
      <c r="A1635" s="5">
        <v>0</v>
      </c>
      <c r="B1635" s="6" t="s">
        <v>9481</v>
      </c>
      <c r="C1635" s="7">
        <v>2076</v>
      </c>
      <c r="D1635" s="8" t="s">
        <v>9482</v>
      </c>
      <c r="E1635" s="8" t="s">
        <v>9483</v>
      </c>
      <c r="F1635" s="8" t="s">
        <v>9484</v>
      </c>
      <c r="G1635" s="6" t="s">
        <v>81</v>
      </c>
      <c r="H1635" s="6" t="s">
        <v>99</v>
      </c>
      <c r="I1635" s="8"/>
      <c r="J1635" s="9">
        <v>1</v>
      </c>
      <c r="K1635" s="9">
        <v>384</v>
      </c>
      <c r="L1635" s="9">
        <v>2023</v>
      </c>
      <c r="M1635" s="8" t="s">
        <v>9485</v>
      </c>
      <c r="N1635" s="8" t="s">
        <v>42</v>
      </c>
      <c r="O1635" s="8" t="s">
        <v>101</v>
      </c>
      <c r="P1635" s="6" t="s">
        <v>44</v>
      </c>
      <c r="Q1635" s="8" t="s">
        <v>45</v>
      </c>
      <c r="R1635" s="10" t="s">
        <v>680</v>
      </c>
      <c r="S1635" s="11"/>
      <c r="T1635" s="6"/>
      <c r="U1635" s="24" t="str">
        <f>HYPERLINK("https://media.infra-m.ru/1931/1931471/cover/1931471.jpg", "Обложка")</f>
        <v>Обложка</v>
      </c>
      <c r="V1635" s="24" t="str">
        <f>HYPERLINK("https://znanium.ru/catalog/product/1931471", "Ознакомиться")</f>
        <v>Ознакомиться</v>
      </c>
      <c r="W1635" s="8" t="s">
        <v>418</v>
      </c>
      <c r="X1635" s="6"/>
      <c r="Y1635" s="6"/>
      <c r="Z1635" s="6"/>
      <c r="AA1635" s="6" t="s">
        <v>68</v>
      </c>
      <c r="AB1635" s="8"/>
    </row>
    <row r="1636" spans="1:28" s="4" customFormat="1" ht="42" customHeight="1">
      <c r="A1636" s="5">
        <v>0</v>
      </c>
      <c r="B1636" s="6" t="s">
        <v>9486</v>
      </c>
      <c r="C1636" s="7">
        <v>2248.8000000000002</v>
      </c>
      <c r="D1636" s="8" t="s">
        <v>9487</v>
      </c>
      <c r="E1636" s="8" t="s">
        <v>9488</v>
      </c>
      <c r="F1636" s="8" t="s">
        <v>9489</v>
      </c>
      <c r="G1636" s="6" t="s">
        <v>132</v>
      </c>
      <c r="H1636" s="6" t="s">
        <v>3369</v>
      </c>
      <c r="I1636" s="8" t="s">
        <v>3186</v>
      </c>
      <c r="J1636" s="9">
        <v>1</v>
      </c>
      <c r="K1636" s="9">
        <v>408</v>
      </c>
      <c r="L1636" s="9">
        <v>2024</v>
      </c>
      <c r="M1636" s="8" t="s">
        <v>9490</v>
      </c>
      <c r="N1636" s="8" t="s">
        <v>42</v>
      </c>
      <c r="O1636" s="8" t="s">
        <v>101</v>
      </c>
      <c r="P1636" s="6" t="s">
        <v>44</v>
      </c>
      <c r="Q1636" s="8" t="s">
        <v>45</v>
      </c>
      <c r="R1636" s="10" t="s">
        <v>874</v>
      </c>
      <c r="S1636" s="11"/>
      <c r="T1636" s="6"/>
      <c r="U1636" s="24" t="str">
        <f>HYPERLINK("https://media.infra-m.ru/2056/2056641/cover/2056641.jpg", "Обложка")</f>
        <v>Обложка</v>
      </c>
      <c r="V1636" s="24" t="str">
        <f>HYPERLINK("https://znanium.ru/catalog/product/1068825", "Ознакомиться")</f>
        <v>Ознакомиться</v>
      </c>
      <c r="W1636" s="8" t="s">
        <v>5670</v>
      </c>
      <c r="X1636" s="6"/>
      <c r="Y1636" s="6"/>
      <c r="Z1636" s="6"/>
      <c r="AA1636" s="6" t="s">
        <v>566</v>
      </c>
      <c r="AB1636" s="8"/>
    </row>
    <row r="1637" spans="1:28" s="4" customFormat="1" ht="51.95" customHeight="1">
      <c r="A1637" s="5">
        <v>0</v>
      </c>
      <c r="B1637" s="6" t="s">
        <v>9491</v>
      </c>
      <c r="C1637" s="7">
        <v>1480.8</v>
      </c>
      <c r="D1637" s="8" t="s">
        <v>9492</v>
      </c>
      <c r="E1637" s="8" t="s">
        <v>9493</v>
      </c>
      <c r="F1637" s="8" t="s">
        <v>9494</v>
      </c>
      <c r="G1637" s="6" t="s">
        <v>132</v>
      </c>
      <c r="H1637" s="6" t="s">
        <v>99</v>
      </c>
      <c r="I1637" s="8"/>
      <c r="J1637" s="9">
        <v>1</v>
      </c>
      <c r="K1637" s="9">
        <v>232</v>
      </c>
      <c r="L1637" s="9">
        <v>2026</v>
      </c>
      <c r="M1637" s="8" t="s">
        <v>9495</v>
      </c>
      <c r="N1637" s="8" t="s">
        <v>42</v>
      </c>
      <c r="O1637" s="8" t="s">
        <v>101</v>
      </c>
      <c r="P1637" s="6" t="s">
        <v>44</v>
      </c>
      <c r="Q1637" s="8" t="s">
        <v>45</v>
      </c>
      <c r="R1637" s="10" t="s">
        <v>9496</v>
      </c>
      <c r="S1637" s="11"/>
      <c r="T1637" s="6"/>
      <c r="U1637" s="24" t="str">
        <f>HYPERLINK("https://media.infra-m.ru/2205/2205235/cover/2205235.jpg", "Обложка")</f>
        <v>Обложка</v>
      </c>
      <c r="V1637" s="24" t="str">
        <f>HYPERLINK("https://znanium.ru/catalog/product/1905567", "Ознакомиться")</f>
        <v>Ознакомиться</v>
      </c>
      <c r="W1637" s="8" t="s">
        <v>1529</v>
      </c>
      <c r="X1637" s="6"/>
      <c r="Y1637" s="6"/>
      <c r="Z1637" s="6"/>
      <c r="AA1637" s="6" t="s">
        <v>119</v>
      </c>
      <c r="AB1637" s="8"/>
    </row>
    <row r="1638" spans="1:28" s="4" customFormat="1" ht="51.95" customHeight="1">
      <c r="A1638" s="5">
        <v>0</v>
      </c>
      <c r="B1638" s="6" t="s">
        <v>9497</v>
      </c>
      <c r="C1638" s="7">
        <v>1300.8</v>
      </c>
      <c r="D1638" s="8" t="s">
        <v>9498</v>
      </c>
      <c r="E1638" s="8" t="s">
        <v>9499</v>
      </c>
      <c r="F1638" s="8" t="s">
        <v>9500</v>
      </c>
      <c r="G1638" s="6" t="s">
        <v>38</v>
      </c>
      <c r="H1638" s="6" t="s">
        <v>99</v>
      </c>
      <c r="I1638" s="8"/>
      <c r="J1638" s="9">
        <v>1</v>
      </c>
      <c r="K1638" s="9">
        <v>208</v>
      </c>
      <c r="L1638" s="9">
        <v>2026</v>
      </c>
      <c r="M1638" s="8" t="s">
        <v>9501</v>
      </c>
      <c r="N1638" s="8" t="s">
        <v>42</v>
      </c>
      <c r="O1638" s="8" t="s">
        <v>101</v>
      </c>
      <c r="P1638" s="6" t="s">
        <v>44</v>
      </c>
      <c r="Q1638" s="8" t="s">
        <v>8133</v>
      </c>
      <c r="R1638" s="10" t="s">
        <v>5214</v>
      </c>
      <c r="S1638" s="11"/>
      <c r="T1638" s="6"/>
      <c r="U1638" s="24" t="str">
        <f>HYPERLINK("https://media.infra-m.ru/2220/2220705/cover/2220705.jpg", "Обложка")</f>
        <v>Обложка</v>
      </c>
      <c r="V1638" s="24" t="str">
        <f>HYPERLINK("https://znanium.ru/catalog/product/1840585", "Ознакомиться")</f>
        <v>Ознакомиться</v>
      </c>
      <c r="W1638" s="8" t="s">
        <v>5471</v>
      </c>
      <c r="X1638" s="6"/>
      <c r="Y1638" s="6"/>
      <c r="Z1638" s="6"/>
      <c r="AA1638" s="6" t="s">
        <v>127</v>
      </c>
      <c r="AB1638" s="8"/>
    </row>
    <row r="1639" spans="1:28" s="4" customFormat="1" ht="42" customHeight="1">
      <c r="A1639" s="5">
        <v>0</v>
      </c>
      <c r="B1639" s="6" t="s">
        <v>9502</v>
      </c>
      <c r="C1639" s="7">
        <v>1504.8</v>
      </c>
      <c r="D1639" s="8" t="s">
        <v>9503</v>
      </c>
      <c r="E1639" s="8" t="s">
        <v>9504</v>
      </c>
      <c r="F1639" s="8" t="s">
        <v>1371</v>
      </c>
      <c r="G1639" s="6" t="s">
        <v>81</v>
      </c>
      <c r="H1639" s="6" t="s">
        <v>99</v>
      </c>
      <c r="I1639" s="8"/>
      <c r="J1639" s="9">
        <v>1</v>
      </c>
      <c r="K1639" s="9">
        <v>240</v>
      </c>
      <c r="L1639" s="9">
        <v>2025</v>
      </c>
      <c r="M1639" s="8" t="s">
        <v>9505</v>
      </c>
      <c r="N1639" s="8" t="s">
        <v>42</v>
      </c>
      <c r="O1639" s="8" t="s">
        <v>101</v>
      </c>
      <c r="P1639" s="6" t="s">
        <v>44</v>
      </c>
      <c r="Q1639" s="8" t="s">
        <v>45</v>
      </c>
      <c r="R1639" s="10" t="s">
        <v>2137</v>
      </c>
      <c r="S1639" s="11"/>
      <c r="T1639" s="6"/>
      <c r="U1639" s="24" t="str">
        <f>HYPERLINK("https://media.infra-m.ru/2192/2192534/cover/2192534.jpg", "Обложка")</f>
        <v>Обложка</v>
      </c>
      <c r="V1639" s="24" t="str">
        <f>HYPERLINK("https://znanium.ru/catalog/product/1893873", "Ознакомиться")</f>
        <v>Ознакомиться</v>
      </c>
      <c r="W1639" s="8" t="s">
        <v>418</v>
      </c>
      <c r="X1639" s="6"/>
      <c r="Y1639" s="6"/>
      <c r="Z1639" s="6"/>
      <c r="AA1639" s="6" t="s">
        <v>369</v>
      </c>
      <c r="AB1639" s="8"/>
    </row>
    <row r="1640" spans="1:28" s="4" customFormat="1" ht="42" customHeight="1">
      <c r="A1640" s="5">
        <v>0</v>
      </c>
      <c r="B1640" s="6" t="s">
        <v>9506</v>
      </c>
      <c r="C1640" s="7">
        <v>2752.8</v>
      </c>
      <c r="D1640" s="8" t="s">
        <v>9507</v>
      </c>
      <c r="E1640" s="8" t="s">
        <v>9508</v>
      </c>
      <c r="F1640" s="8" t="s">
        <v>9509</v>
      </c>
      <c r="G1640" s="6" t="s">
        <v>132</v>
      </c>
      <c r="H1640" s="6" t="s">
        <v>3369</v>
      </c>
      <c r="I1640" s="8" t="s">
        <v>3186</v>
      </c>
      <c r="J1640" s="9">
        <v>1</v>
      </c>
      <c r="K1640" s="9">
        <v>770</v>
      </c>
      <c r="L1640" s="9">
        <v>2024</v>
      </c>
      <c r="M1640" s="8" t="s">
        <v>9510</v>
      </c>
      <c r="N1640" s="8" t="s">
        <v>42</v>
      </c>
      <c r="O1640" s="8" t="s">
        <v>101</v>
      </c>
      <c r="P1640" s="6" t="s">
        <v>44</v>
      </c>
      <c r="Q1640" s="8" t="s">
        <v>45</v>
      </c>
      <c r="R1640" s="10" t="s">
        <v>874</v>
      </c>
      <c r="S1640" s="11"/>
      <c r="T1640" s="6"/>
      <c r="U1640" s="24" t="str">
        <f>HYPERLINK("https://media.infra-m.ru/2137/2137027/cover/2137027.jpg", "Обложка")</f>
        <v>Обложка</v>
      </c>
      <c r="V1640" s="24" t="str">
        <f>HYPERLINK("https://znanium.ru/catalog/product/1818641", "Ознакомиться")</f>
        <v>Ознакомиться</v>
      </c>
      <c r="W1640" s="8" t="s">
        <v>3188</v>
      </c>
      <c r="X1640" s="6"/>
      <c r="Y1640" s="6"/>
      <c r="Z1640" s="6"/>
      <c r="AA1640" s="6" t="s">
        <v>5671</v>
      </c>
      <c r="AB1640" s="8"/>
    </row>
    <row r="1641" spans="1:28" s="4" customFormat="1" ht="42" customHeight="1">
      <c r="A1641" s="5">
        <v>0</v>
      </c>
      <c r="B1641" s="6" t="s">
        <v>9511</v>
      </c>
      <c r="C1641" s="7">
        <v>1074</v>
      </c>
      <c r="D1641" s="8" t="s">
        <v>9512</v>
      </c>
      <c r="E1641" s="8" t="s">
        <v>9513</v>
      </c>
      <c r="F1641" s="8" t="s">
        <v>9514</v>
      </c>
      <c r="G1641" s="6" t="s">
        <v>81</v>
      </c>
      <c r="H1641" s="6" t="s">
        <v>99</v>
      </c>
      <c r="I1641" s="8"/>
      <c r="J1641" s="9">
        <v>1</v>
      </c>
      <c r="K1641" s="9">
        <v>240</v>
      </c>
      <c r="L1641" s="9">
        <v>2025</v>
      </c>
      <c r="M1641" s="8" t="s">
        <v>9515</v>
      </c>
      <c r="N1641" s="8" t="s">
        <v>42</v>
      </c>
      <c r="O1641" s="8" t="s">
        <v>101</v>
      </c>
      <c r="P1641" s="6" t="s">
        <v>44</v>
      </c>
      <c r="Q1641" s="8" t="s">
        <v>45</v>
      </c>
      <c r="R1641" s="10" t="s">
        <v>874</v>
      </c>
      <c r="S1641" s="11"/>
      <c r="T1641" s="6"/>
      <c r="U1641" s="24" t="str">
        <f>HYPERLINK("https://media.infra-m.ru/2205/2205508/cover/2205508.jpg", "Обложка")</f>
        <v>Обложка</v>
      </c>
      <c r="V1641" s="24" t="str">
        <f>HYPERLINK("https://znanium.ru/catalog/product/1088345", "Ознакомиться")</f>
        <v>Ознакомиться</v>
      </c>
      <c r="W1641" s="8" t="s">
        <v>516</v>
      </c>
      <c r="X1641" s="6"/>
      <c r="Y1641" s="6"/>
      <c r="Z1641" s="6"/>
      <c r="AA1641" s="6" t="s">
        <v>369</v>
      </c>
      <c r="AB1641" s="8"/>
    </row>
    <row r="1642" spans="1:28" s="4" customFormat="1" ht="44.1" customHeight="1">
      <c r="A1642" s="5">
        <v>0</v>
      </c>
      <c r="B1642" s="6" t="s">
        <v>9516</v>
      </c>
      <c r="C1642" s="13">
        <v>900</v>
      </c>
      <c r="D1642" s="8" t="s">
        <v>9517</v>
      </c>
      <c r="E1642" s="8" t="s">
        <v>9518</v>
      </c>
      <c r="F1642" s="8" t="s">
        <v>9519</v>
      </c>
      <c r="G1642" s="6" t="s">
        <v>38</v>
      </c>
      <c r="H1642" s="6" t="s">
        <v>39</v>
      </c>
      <c r="I1642" s="8" t="s">
        <v>40</v>
      </c>
      <c r="J1642" s="9">
        <v>1</v>
      </c>
      <c r="K1642" s="9">
        <v>128</v>
      </c>
      <c r="L1642" s="9">
        <v>2025</v>
      </c>
      <c r="M1642" s="8" t="s">
        <v>9520</v>
      </c>
      <c r="N1642" s="8" t="s">
        <v>42</v>
      </c>
      <c r="O1642" s="8" t="s">
        <v>101</v>
      </c>
      <c r="P1642" s="6" t="s">
        <v>44</v>
      </c>
      <c r="Q1642" s="8" t="s">
        <v>45</v>
      </c>
      <c r="R1642" s="10" t="s">
        <v>692</v>
      </c>
      <c r="S1642" s="11"/>
      <c r="T1642" s="6"/>
      <c r="U1642" s="24" t="str">
        <f>HYPERLINK("https://media.infra-m.ru/2180/2180375/cover/2180375.jpg", "Обложка")</f>
        <v>Обложка</v>
      </c>
      <c r="V1642" s="24" t="str">
        <f>HYPERLINK("https://znanium.ru/catalog/product/2180375", "Ознакомиться")</f>
        <v>Ознакомиться</v>
      </c>
      <c r="W1642" s="8" t="s">
        <v>724</v>
      </c>
      <c r="X1642" s="6" t="s">
        <v>306</v>
      </c>
      <c r="Y1642" s="6"/>
      <c r="Z1642" s="6"/>
      <c r="AA1642" s="6" t="s">
        <v>159</v>
      </c>
      <c r="AB1642" s="8"/>
    </row>
    <row r="1643" spans="1:28" s="4" customFormat="1" ht="42" customHeight="1">
      <c r="A1643" s="5">
        <v>0</v>
      </c>
      <c r="B1643" s="6" t="s">
        <v>9521</v>
      </c>
      <c r="C1643" s="7">
        <v>1308</v>
      </c>
      <c r="D1643" s="8" t="s">
        <v>9522</v>
      </c>
      <c r="E1643" s="8" t="s">
        <v>9523</v>
      </c>
      <c r="F1643" s="8" t="s">
        <v>9524</v>
      </c>
      <c r="G1643" s="6" t="s">
        <v>81</v>
      </c>
      <c r="H1643" s="6" t="s">
        <v>99</v>
      </c>
      <c r="I1643" s="8"/>
      <c r="J1643" s="9">
        <v>1</v>
      </c>
      <c r="K1643" s="9">
        <v>208</v>
      </c>
      <c r="L1643" s="9">
        <v>2026</v>
      </c>
      <c r="M1643" s="8" t="s">
        <v>9525</v>
      </c>
      <c r="N1643" s="8" t="s">
        <v>42</v>
      </c>
      <c r="O1643" s="8" t="s">
        <v>101</v>
      </c>
      <c r="P1643" s="6" t="s">
        <v>44</v>
      </c>
      <c r="Q1643" s="8" t="s">
        <v>45</v>
      </c>
      <c r="R1643" s="10" t="s">
        <v>6682</v>
      </c>
      <c r="S1643" s="11"/>
      <c r="T1643" s="6"/>
      <c r="U1643" s="24" t="str">
        <f>HYPERLINK("https://media.infra-m.ru/2216/2216845/cover/2216845.jpg", "Обложка")</f>
        <v>Обложка</v>
      </c>
      <c r="V1643" s="24" t="str">
        <f>HYPERLINK("https://znanium.ru/catalog/product/2216845", "Ознакомиться")</f>
        <v>Ознакомиться</v>
      </c>
      <c r="W1643" s="8" t="s">
        <v>3188</v>
      </c>
      <c r="X1643" s="6"/>
      <c r="Y1643" s="6"/>
      <c r="Z1643" s="6"/>
      <c r="AA1643" s="6" t="s">
        <v>76</v>
      </c>
      <c r="AB1643" s="8"/>
    </row>
    <row r="1644" spans="1:28" s="4" customFormat="1" ht="42" customHeight="1">
      <c r="A1644" s="5">
        <v>0</v>
      </c>
      <c r="B1644" s="6" t="s">
        <v>9526</v>
      </c>
      <c r="C1644" s="13">
        <v>624</v>
      </c>
      <c r="D1644" s="8" t="s">
        <v>9527</v>
      </c>
      <c r="E1644" s="8" t="s">
        <v>9528</v>
      </c>
      <c r="F1644" s="8" t="s">
        <v>9529</v>
      </c>
      <c r="G1644" s="6" t="s">
        <v>38</v>
      </c>
      <c r="H1644" s="6" t="s">
        <v>39</v>
      </c>
      <c r="I1644" s="8" t="s">
        <v>40</v>
      </c>
      <c r="J1644" s="9">
        <v>1</v>
      </c>
      <c r="K1644" s="9">
        <v>134</v>
      </c>
      <c r="L1644" s="9">
        <v>2022</v>
      </c>
      <c r="M1644" s="8" t="s">
        <v>9530</v>
      </c>
      <c r="N1644" s="8" t="s">
        <v>42</v>
      </c>
      <c r="O1644" s="8" t="s">
        <v>101</v>
      </c>
      <c r="P1644" s="6" t="s">
        <v>44</v>
      </c>
      <c r="Q1644" s="8" t="s">
        <v>45</v>
      </c>
      <c r="R1644" s="10" t="s">
        <v>2137</v>
      </c>
      <c r="S1644" s="11"/>
      <c r="T1644" s="6"/>
      <c r="U1644" s="24" t="str">
        <f>HYPERLINK("https://media.infra-m.ru/1856/1856797/cover/1856797.jpg", "Обложка")</f>
        <v>Обложка</v>
      </c>
      <c r="V1644" s="24" t="str">
        <f>HYPERLINK("https://znanium.ru/catalog/product/1856797", "Ознакомиться")</f>
        <v>Ознакомиться</v>
      </c>
      <c r="W1644" s="8" t="s">
        <v>7970</v>
      </c>
      <c r="X1644" s="6"/>
      <c r="Y1644" s="6"/>
      <c r="Z1644" s="6"/>
      <c r="AA1644" s="6" t="s">
        <v>68</v>
      </c>
      <c r="AB1644" s="8"/>
    </row>
    <row r="1645" spans="1:28" s="4" customFormat="1" ht="51.95" customHeight="1">
      <c r="A1645" s="5">
        <v>0</v>
      </c>
      <c r="B1645" s="6" t="s">
        <v>9531</v>
      </c>
      <c r="C1645" s="13">
        <v>832.8</v>
      </c>
      <c r="D1645" s="8" t="s">
        <v>9532</v>
      </c>
      <c r="E1645" s="8" t="s">
        <v>9533</v>
      </c>
      <c r="F1645" s="8" t="s">
        <v>9534</v>
      </c>
      <c r="G1645" s="6" t="s">
        <v>38</v>
      </c>
      <c r="H1645" s="6" t="s">
        <v>182</v>
      </c>
      <c r="I1645" s="8" t="s">
        <v>1216</v>
      </c>
      <c r="J1645" s="9">
        <v>1</v>
      </c>
      <c r="K1645" s="9">
        <v>155</v>
      </c>
      <c r="L1645" s="9">
        <v>2023</v>
      </c>
      <c r="M1645" s="8" t="s">
        <v>9535</v>
      </c>
      <c r="N1645" s="8" t="s">
        <v>42</v>
      </c>
      <c r="O1645" s="8" t="s">
        <v>246</v>
      </c>
      <c r="P1645" s="6" t="s">
        <v>44</v>
      </c>
      <c r="Q1645" s="8" t="s">
        <v>45</v>
      </c>
      <c r="R1645" s="10" t="s">
        <v>9536</v>
      </c>
      <c r="S1645" s="11"/>
      <c r="T1645" s="6"/>
      <c r="U1645" s="24" t="str">
        <f>HYPERLINK("https://media.infra-m.ru/1981/1981701/cover/1981701.jpg", "Обложка")</f>
        <v>Обложка</v>
      </c>
      <c r="V1645" s="24" t="str">
        <f>HYPERLINK("https://znanium.ru/catalog/product/1012433", "Ознакомиться")</f>
        <v>Ознакомиться</v>
      </c>
      <c r="W1645" s="8"/>
      <c r="X1645" s="6"/>
      <c r="Y1645" s="6"/>
      <c r="Z1645" s="6"/>
      <c r="AA1645" s="6" t="s">
        <v>127</v>
      </c>
      <c r="AB1645" s="8"/>
    </row>
    <row r="1646" spans="1:28" s="4" customFormat="1" ht="44.1" customHeight="1">
      <c r="A1646" s="5">
        <v>0</v>
      </c>
      <c r="B1646" s="6" t="s">
        <v>9537</v>
      </c>
      <c r="C1646" s="7">
        <v>2248.8000000000002</v>
      </c>
      <c r="D1646" s="8" t="s">
        <v>9538</v>
      </c>
      <c r="E1646" s="8" t="s">
        <v>9539</v>
      </c>
      <c r="F1646" s="8" t="s">
        <v>9540</v>
      </c>
      <c r="G1646" s="6" t="s">
        <v>132</v>
      </c>
      <c r="H1646" s="6" t="s">
        <v>39</v>
      </c>
      <c r="I1646" s="8" t="s">
        <v>40</v>
      </c>
      <c r="J1646" s="9">
        <v>1</v>
      </c>
      <c r="K1646" s="9">
        <v>399</v>
      </c>
      <c r="L1646" s="9">
        <v>2024</v>
      </c>
      <c r="M1646" s="8" t="s">
        <v>9541</v>
      </c>
      <c r="N1646" s="8" t="s">
        <v>42</v>
      </c>
      <c r="O1646" s="8" t="s">
        <v>101</v>
      </c>
      <c r="P1646" s="6" t="s">
        <v>44</v>
      </c>
      <c r="Q1646" s="8" t="s">
        <v>45</v>
      </c>
      <c r="R1646" s="10" t="s">
        <v>4373</v>
      </c>
      <c r="S1646" s="11"/>
      <c r="T1646" s="6"/>
      <c r="U1646" s="24" t="str">
        <f>HYPERLINK("https://media.infra-m.ru/2138/2138285/cover/2138285.jpg", "Обложка")</f>
        <v>Обложка</v>
      </c>
      <c r="V1646" s="24" t="str">
        <f>HYPERLINK("https://znanium.ru/catalog/product/2138285", "Ознакомиться")</f>
        <v>Ознакомиться</v>
      </c>
      <c r="W1646" s="8" t="s">
        <v>3519</v>
      </c>
      <c r="X1646" s="6"/>
      <c r="Y1646" s="6"/>
      <c r="Z1646" s="6"/>
      <c r="AA1646" s="6" t="s">
        <v>199</v>
      </c>
      <c r="AB1646" s="8"/>
    </row>
    <row r="1647" spans="1:28" s="4" customFormat="1" ht="42" customHeight="1">
      <c r="A1647" s="5">
        <v>0</v>
      </c>
      <c r="B1647" s="6" t="s">
        <v>9542</v>
      </c>
      <c r="C1647" s="7">
        <v>1229.3</v>
      </c>
      <c r="D1647" s="8" t="s">
        <v>9543</v>
      </c>
      <c r="E1647" s="8" t="s">
        <v>9544</v>
      </c>
      <c r="F1647" s="8" t="s">
        <v>72</v>
      </c>
      <c r="G1647" s="6" t="s">
        <v>38</v>
      </c>
      <c r="H1647" s="6" t="s">
        <v>39</v>
      </c>
      <c r="I1647" s="8" t="s">
        <v>40</v>
      </c>
      <c r="J1647" s="9">
        <v>1</v>
      </c>
      <c r="K1647" s="9">
        <v>217</v>
      </c>
      <c r="L1647" s="9">
        <v>2024</v>
      </c>
      <c r="M1647" s="8" t="s">
        <v>9545</v>
      </c>
      <c r="N1647" s="8" t="s">
        <v>54</v>
      </c>
      <c r="O1647" s="8" t="s">
        <v>55</v>
      </c>
      <c r="P1647" s="6" t="s">
        <v>44</v>
      </c>
      <c r="Q1647" s="8" t="s">
        <v>45</v>
      </c>
      <c r="R1647" s="10" t="s">
        <v>9546</v>
      </c>
      <c r="S1647" s="11"/>
      <c r="T1647" s="6"/>
      <c r="U1647" s="24" t="str">
        <f>HYPERLINK("https://media.infra-m.ru/2080/2080498/cover/2080498.jpg", "Обложка")</f>
        <v>Обложка</v>
      </c>
      <c r="V1647" s="24" t="str">
        <f>HYPERLINK("https://znanium.ru/catalog/product/2069322", "Ознакомиться")</f>
        <v>Ознакомиться</v>
      </c>
      <c r="W1647" s="8" t="s">
        <v>75</v>
      </c>
      <c r="X1647" s="6"/>
      <c r="Y1647" s="6"/>
      <c r="Z1647" s="6"/>
      <c r="AA1647" s="6" t="s">
        <v>199</v>
      </c>
      <c r="AB1647" s="8"/>
    </row>
    <row r="1648" spans="1:28" s="4" customFormat="1" ht="51.95" customHeight="1">
      <c r="A1648" s="5">
        <v>0</v>
      </c>
      <c r="B1648" s="6" t="s">
        <v>9547</v>
      </c>
      <c r="C1648" s="13">
        <v>708</v>
      </c>
      <c r="D1648" s="8" t="s">
        <v>9548</v>
      </c>
      <c r="E1648" s="8" t="s">
        <v>9549</v>
      </c>
      <c r="F1648" s="8" t="s">
        <v>9550</v>
      </c>
      <c r="G1648" s="6" t="s">
        <v>38</v>
      </c>
      <c r="H1648" s="6" t="s">
        <v>1019</v>
      </c>
      <c r="I1648" s="8" t="s">
        <v>1020</v>
      </c>
      <c r="J1648" s="9">
        <v>1</v>
      </c>
      <c r="K1648" s="9">
        <v>174</v>
      </c>
      <c r="L1648" s="9">
        <v>2018</v>
      </c>
      <c r="M1648" s="8" t="s">
        <v>9551</v>
      </c>
      <c r="N1648" s="8" t="s">
        <v>284</v>
      </c>
      <c r="O1648" s="8" t="s">
        <v>328</v>
      </c>
      <c r="P1648" s="6" t="s">
        <v>44</v>
      </c>
      <c r="Q1648" s="8" t="s">
        <v>45</v>
      </c>
      <c r="R1648" s="10" t="s">
        <v>9552</v>
      </c>
      <c r="S1648" s="11"/>
      <c r="T1648" s="6"/>
      <c r="U1648" s="24" t="str">
        <f>HYPERLINK("https://media.infra-m.ru/0959/0959869/cover/959869.jpg", "Обложка")</f>
        <v>Обложка</v>
      </c>
      <c r="V1648" s="24" t="str">
        <f>HYPERLINK("https://znanium.ru/catalog/product/959869", "Ознакомиться")</f>
        <v>Ознакомиться</v>
      </c>
      <c r="W1648" s="8" t="s">
        <v>176</v>
      </c>
      <c r="X1648" s="6"/>
      <c r="Y1648" s="6"/>
      <c r="Z1648" s="6"/>
      <c r="AA1648" s="6" t="s">
        <v>369</v>
      </c>
      <c r="AB1648" s="8"/>
    </row>
    <row r="1649" spans="1:28" s="4" customFormat="1" ht="42" customHeight="1">
      <c r="A1649" s="5">
        <v>0</v>
      </c>
      <c r="B1649" s="6" t="s">
        <v>9553</v>
      </c>
      <c r="C1649" s="7">
        <v>1440</v>
      </c>
      <c r="D1649" s="8" t="s">
        <v>9554</v>
      </c>
      <c r="E1649" s="8" t="s">
        <v>9555</v>
      </c>
      <c r="F1649" s="8" t="s">
        <v>9556</v>
      </c>
      <c r="G1649" s="6" t="s">
        <v>132</v>
      </c>
      <c r="H1649" s="6" t="s">
        <v>39</v>
      </c>
      <c r="I1649" s="8" t="s">
        <v>40</v>
      </c>
      <c r="J1649" s="9">
        <v>1</v>
      </c>
      <c r="K1649" s="9">
        <v>263</v>
      </c>
      <c r="L1649" s="9">
        <v>2023</v>
      </c>
      <c r="M1649" s="8" t="s">
        <v>9557</v>
      </c>
      <c r="N1649" s="8" t="s">
        <v>220</v>
      </c>
      <c r="O1649" s="8" t="s">
        <v>252</v>
      </c>
      <c r="P1649" s="6" t="s">
        <v>44</v>
      </c>
      <c r="Q1649" s="8" t="s">
        <v>45</v>
      </c>
      <c r="R1649" s="10" t="s">
        <v>6393</v>
      </c>
      <c r="S1649" s="11"/>
      <c r="T1649" s="6"/>
      <c r="U1649" s="24" t="str">
        <f>HYPERLINK("https://media.infra-m.ru/1900/1900641/cover/1900641.jpg", "Обложка")</f>
        <v>Обложка</v>
      </c>
      <c r="V1649" s="24" t="str">
        <f>HYPERLINK("https://znanium.ru/catalog/product/1900641", "Ознакомиться")</f>
        <v>Ознакомиться</v>
      </c>
      <c r="W1649" s="8" t="s">
        <v>314</v>
      </c>
      <c r="X1649" s="6"/>
      <c r="Y1649" s="6"/>
      <c r="Z1649" s="6"/>
      <c r="AA1649" s="6" t="s">
        <v>119</v>
      </c>
      <c r="AB1649" s="8" t="s">
        <v>1342</v>
      </c>
    </row>
    <row r="1650" spans="1:28" s="4" customFormat="1" ht="51.95" customHeight="1">
      <c r="A1650" s="5">
        <v>0</v>
      </c>
      <c r="B1650" s="6" t="s">
        <v>9558</v>
      </c>
      <c r="C1650" s="13">
        <v>612</v>
      </c>
      <c r="D1650" s="8" t="s">
        <v>9559</v>
      </c>
      <c r="E1650" s="8" t="s">
        <v>9560</v>
      </c>
      <c r="F1650" s="8" t="s">
        <v>9561</v>
      </c>
      <c r="G1650" s="6" t="s">
        <v>38</v>
      </c>
      <c r="H1650" s="6" t="s">
        <v>39</v>
      </c>
      <c r="I1650" s="8" t="s">
        <v>40</v>
      </c>
      <c r="J1650" s="9">
        <v>1</v>
      </c>
      <c r="K1650" s="9">
        <v>110</v>
      </c>
      <c r="L1650" s="9">
        <v>2024</v>
      </c>
      <c r="M1650" s="8" t="s">
        <v>9562</v>
      </c>
      <c r="N1650" s="8" t="s">
        <v>284</v>
      </c>
      <c r="O1650" s="8" t="s">
        <v>312</v>
      </c>
      <c r="P1650" s="6" t="s">
        <v>44</v>
      </c>
      <c r="Q1650" s="8" t="s">
        <v>45</v>
      </c>
      <c r="R1650" s="10" t="s">
        <v>9563</v>
      </c>
      <c r="S1650" s="11"/>
      <c r="T1650" s="6"/>
      <c r="U1650" s="24" t="str">
        <f>HYPERLINK("https://media.infra-m.ru/2117/2117154/cover/2117154.jpg", "Обложка")</f>
        <v>Обложка</v>
      </c>
      <c r="V1650" s="24" t="str">
        <f>HYPERLINK("https://znanium.ru/catalog/product/2117154", "Ознакомиться")</f>
        <v>Ознакомиться</v>
      </c>
      <c r="W1650" s="8" t="s">
        <v>1601</v>
      </c>
      <c r="X1650" s="6"/>
      <c r="Y1650" s="6"/>
      <c r="Z1650" s="6"/>
      <c r="AA1650" s="6" t="s">
        <v>331</v>
      </c>
      <c r="AB1650" s="8"/>
    </row>
    <row r="1651" spans="1:28" s="4" customFormat="1" ht="42" customHeight="1">
      <c r="A1651" s="5">
        <v>0</v>
      </c>
      <c r="B1651" s="6" t="s">
        <v>9564</v>
      </c>
      <c r="C1651" s="7">
        <v>1036.8</v>
      </c>
      <c r="D1651" s="8" t="s">
        <v>9565</v>
      </c>
      <c r="E1651" s="8" t="s">
        <v>9566</v>
      </c>
      <c r="F1651" s="8" t="s">
        <v>9567</v>
      </c>
      <c r="G1651" s="6" t="s">
        <v>132</v>
      </c>
      <c r="H1651" s="6" t="s">
        <v>39</v>
      </c>
      <c r="I1651" s="8" t="s">
        <v>344</v>
      </c>
      <c r="J1651" s="9">
        <v>1</v>
      </c>
      <c r="K1651" s="9">
        <v>191</v>
      </c>
      <c r="L1651" s="9">
        <v>2023</v>
      </c>
      <c r="M1651" s="8" t="s">
        <v>9568</v>
      </c>
      <c r="N1651" s="8" t="s">
        <v>284</v>
      </c>
      <c r="O1651" s="8" t="s">
        <v>285</v>
      </c>
      <c r="P1651" s="6" t="s">
        <v>44</v>
      </c>
      <c r="Q1651" s="8" t="s">
        <v>45</v>
      </c>
      <c r="R1651" s="10" t="s">
        <v>9569</v>
      </c>
      <c r="S1651" s="11"/>
      <c r="T1651" s="6"/>
      <c r="U1651" s="24" t="str">
        <f>HYPERLINK("https://media.infra-m.ru/2006/2006894/cover/2006894.jpg", "Обложка")</f>
        <v>Обложка</v>
      </c>
      <c r="V1651" s="12"/>
      <c r="W1651" s="8" t="s">
        <v>346</v>
      </c>
      <c r="X1651" s="6"/>
      <c r="Y1651" s="6"/>
      <c r="Z1651" s="6"/>
      <c r="AA1651" s="6" t="s">
        <v>68</v>
      </c>
      <c r="AB1651" s="8"/>
    </row>
    <row r="1652" spans="1:28" s="4" customFormat="1" ht="42" customHeight="1">
      <c r="A1652" s="5">
        <v>0</v>
      </c>
      <c r="B1652" s="6" t="s">
        <v>9570</v>
      </c>
      <c r="C1652" s="7">
        <v>3958.8</v>
      </c>
      <c r="D1652" s="8" t="s">
        <v>9571</v>
      </c>
      <c r="E1652" s="8" t="s">
        <v>9572</v>
      </c>
      <c r="F1652" s="8" t="s">
        <v>9573</v>
      </c>
      <c r="G1652" s="6" t="s">
        <v>132</v>
      </c>
      <c r="H1652" s="6" t="s">
        <v>39</v>
      </c>
      <c r="I1652" s="8" t="s">
        <v>40</v>
      </c>
      <c r="J1652" s="9">
        <v>1</v>
      </c>
      <c r="K1652" s="9">
        <v>164</v>
      </c>
      <c r="L1652" s="9">
        <v>2024</v>
      </c>
      <c r="M1652" s="8" t="s">
        <v>9574</v>
      </c>
      <c r="N1652" s="8" t="s">
        <v>284</v>
      </c>
      <c r="O1652" s="8" t="s">
        <v>717</v>
      </c>
      <c r="P1652" s="6" t="s">
        <v>44</v>
      </c>
      <c r="Q1652" s="8" t="s">
        <v>45</v>
      </c>
      <c r="R1652" s="10" t="s">
        <v>9575</v>
      </c>
      <c r="S1652" s="11"/>
      <c r="T1652" s="6"/>
      <c r="U1652" s="24" t="str">
        <f>HYPERLINK("https://media.infra-m.ru/2133/2133679/cover/2133679.jpg", "Обложка")</f>
        <v>Обложка</v>
      </c>
      <c r="V1652" s="24" t="str">
        <f>HYPERLINK("https://znanium.ru/catalog/product/2133679", "Ознакомиться")</f>
        <v>Ознакомиться</v>
      </c>
      <c r="W1652" s="8" t="s">
        <v>305</v>
      </c>
      <c r="X1652" s="6"/>
      <c r="Y1652" s="6"/>
      <c r="Z1652" s="6"/>
      <c r="AA1652" s="6" t="s">
        <v>58</v>
      </c>
      <c r="AB1652" s="8" t="s">
        <v>766</v>
      </c>
    </row>
    <row r="1653" spans="1:28" s="4" customFormat="1" ht="44.1" customHeight="1">
      <c r="A1653" s="5">
        <v>0</v>
      </c>
      <c r="B1653" s="6" t="s">
        <v>9576</v>
      </c>
      <c r="C1653" s="13">
        <v>972</v>
      </c>
      <c r="D1653" s="8" t="s">
        <v>9577</v>
      </c>
      <c r="E1653" s="8" t="s">
        <v>9578</v>
      </c>
      <c r="F1653" s="8" t="s">
        <v>9579</v>
      </c>
      <c r="G1653" s="6" t="s">
        <v>38</v>
      </c>
      <c r="H1653" s="6" t="s">
        <v>39</v>
      </c>
      <c r="I1653" s="8" t="s">
        <v>40</v>
      </c>
      <c r="J1653" s="9">
        <v>1</v>
      </c>
      <c r="K1653" s="9">
        <v>162</v>
      </c>
      <c r="L1653" s="9">
        <v>2024</v>
      </c>
      <c r="M1653" s="8" t="s">
        <v>9580</v>
      </c>
      <c r="N1653" s="8" t="s">
        <v>42</v>
      </c>
      <c r="O1653" s="8" t="s">
        <v>1315</v>
      </c>
      <c r="P1653" s="6" t="s">
        <v>44</v>
      </c>
      <c r="Q1653" s="8" t="s">
        <v>45</v>
      </c>
      <c r="R1653" s="10" t="s">
        <v>9581</v>
      </c>
      <c r="S1653" s="11"/>
      <c r="T1653" s="6"/>
      <c r="U1653" s="24" t="str">
        <f>HYPERLINK("https://media.infra-m.ru/2114/2114387/cover/2114387.jpg", "Обложка")</f>
        <v>Обложка</v>
      </c>
      <c r="V1653" s="24" t="str">
        <f>HYPERLINK("https://znanium.ru/catalog/product/2114387", "Ознакомиться")</f>
        <v>Ознакомиться</v>
      </c>
      <c r="W1653" s="8" t="s">
        <v>1349</v>
      </c>
      <c r="X1653" s="6"/>
      <c r="Y1653" s="6"/>
      <c r="Z1653" s="6"/>
      <c r="AA1653" s="6" t="s">
        <v>58</v>
      </c>
      <c r="AB1653" s="8" t="s">
        <v>766</v>
      </c>
    </row>
    <row r="1654" spans="1:28" s="4" customFormat="1" ht="44.1" customHeight="1">
      <c r="A1654" s="5">
        <v>0</v>
      </c>
      <c r="B1654" s="6" t="s">
        <v>9582</v>
      </c>
      <c r="C1654" s="13">
        <v>624</v>
      </c>
      <c r="D1654" s="8" t="s">
        <v>9583</v>
      </c>
      <c r="E1654" s="8" t="s">
        <v>9584</v>
      </c>
      <c r="F1654" s="8" t="s">
        <v>9585</v>
      </c>
      <c r="G1654" s="6" t="s">
        <v>38</v>
      </c>
      <c r="H1654" s="6" t="s">
        <v>39</v>
      </c>
      <c r="I1654" s="8" t="s">
        <v>40</v>
      </c>
      <c r="J1654" s="9">
        <v>1</v>
      </c>
      <c r="K1654" s="9">
        <v>104</v>
      </c>
      <c r="L1654" s="9">
        <v>2024</v>
      </c>
      <c r="M1654" s="8" t="s">
        <v>9586</v>
      </c>
      <c r="N1654" s="8" t="s">
        <v>229</v>
      </c>
      <c r="O1654" s="8" t="s">
        <v>230</v>
      </c>
      <c r="P1654" s="6" t="s">
        <v>44</v>
      </c>
      <c r="Q1654" s="8" t="s">
        <v>45</v>
      </c>
      <c r="R1654" s="10" t="s">
        <v>9587</v>
      </c>
      <c r="S1654" s="11"/>
      <c r="T1654" s="6"/>
      <c r="U1654" s="24" t="str">
        <f>HYPERLINK("https://media.infra-m.ru/2052/2052444/cover/2052444.jpg", "Обложка")</f>
        <v>Обложка</v>
      </c>
      <c r="V1654" s="24" t="str">
        <f>HYPERLINK("https://znanium.ru/catalog/product/2052444", "Ознакомиться")</f>
        <v>Ознакомиться</v>
      </c>
      <c r="W1654" s="8" t="s">
        <v>8090</v>
      </c>
      <c r="X1654" s="6"/>
      <c r="Y1654" s="6"/>
      <c r="Z1654" s="6"/>
      <c r="AA1654" s="6" t="s">
        <v>369</v>
      </c>
      <c r="AB1654" s="8"/>
    </row>
    <row r="1655" spans="1:28" s="4" customFormat="1" ht="42" customHeight="1">
      <c r="A1655" s="5">
        <v>0</v>
      </c>
      <c r="B1655" s="6" t="s">
        <v>9588</v>
      </c>
      <c r="C1655" s="7">
        <v>1020</v>
      </c>
      <c r="D1655" s="8" t="s">
        <v>9589</v>
      </c>
      <c r="E1655" s="8" t="s">
        <v>9590</v>
      </c>
      <c r="F1655" s="8" t="s">
        <v>9591</v>
      </c>
      <c r="G1655" s="6" t="s">
        <v>38</v>
      </c>
      <c r="H1655" s="6" t="s">
        <v>39</v>
      </c>
      <c r="I1655" s="8" t="s">
        <v>40</v>
      </c>
      <c r="J1655" s="9">
        <v>1</v>
      </c>
      <c r="K1655" s="9">
        <v>143</v>
      </c>
      <c r="L1655" s="9">
        <v>2026</v>
      </c>
      <c r="M1655" s="8" t="s">
        <v>9592</v>
      </c>
      <c r="N1655" s="8" t="s">
        <v>284</v>
      </c>
      <c r="O1655" s="8" t="s">
        <v>482</v>
      </c>
      <c r="P1655" s="6" t="s">
        <v>44</v>
      </c>
      <c r="Q1655" s="8" t="s">
        <v>45</v>
      </c>
      <c r="R1655" s="10" t="s">
        <v>6811</v>
      </c>
      <c r="S1655" s="11"/>
      <c r="T1655" s="6"/>
      <c r="U1655" s="24" t="str">
        <f>HYPERLINK("https://media.infra-m.ru/2186/2186794/cover/2186794.jpg", "Обложка")</f>
        <v>Обложка</v>
      </c>
      <c r="V1655" s="24" t="str">
        <f>HYPERLINK("https://znanium.ru/catalog/product/2186794", "Ознакомиться")</f>
        <v>Ознакомиться</v>
      </c>
      <c r="W1655" s="8" t="s">
        <v>732</v>
      </c>
      <c r="X1655" s="6" t="s">
        <v>450</v>
      </c>
      <c r="Y1655" s="6"/>
      <c r="Z1655" s="6"/>
      <c r="AA1655" s="6" t="s">
        <v>833</v>
      </c>
      <c r="AB1655" s="8"/>
    </row>
    <row r="1656" spans="1:28" s="4" customFormat="1" ht="51.95" customHeight="1">
      <c r="A1656" s="5">
        <v>0</v>
      </c>
      <c r="B1656" s="6" t="s">
        <v>9593</v>
      </c>
      <c r="C1656" s="7">
        <v>1188</v>
      </c>
      <c r="D1656" s="8" t="s">
        <v>9594</v>
      </c>
      <c r="E1656" s="8" t="s">
        <v>9595</v>
      </c>
      <c r="F1656" s="8" t="s">
        <v>9596</v>
      </c>
      <c r="G1656" s="6" t="s">
        <v>38</v>
      </c>
      <c r="H1656" s="6" t="s">
        <v>39</v>
      </c>
      <c r="I1656" s="8" t="s">
        <v>40</v>
      </c>
      <c r="J1656" s="9">
        <v>1</v>
      </c>
      <c r="K1656" s="9">
        <v>202</v>
      </c>
      <c r="L1656" s="9">
        <v>2022</v>
      </c>
      <c r="M1656" s="8" t="s">
        <v>9597</v>
      </c>
      <c r="N1656" s="8" t="s">
        <v>220</v>
      </c>
      <c r="O1656" s="8" t="s">
        <v>252</v>
      </c>
      <c r="P1656" s="6" t="s">
        <v>44</v>
      </c>
      <c r="Q1656" s="8" t="s">
        <v>45</v>
      </c>
      <c r="R1656" s="10" t="s">
        <v>9598</v>
      </c>
      <c r="S1656" s="11"/>
      <c r="T1656" s="6"/>
      <c r="U1656" s="24" t="str">
        <f>HYPERLINK("https://media.infra-m.ru/1865/1865188/cover/1865188.jpg", "Обложка")</f>
        <v>Обложка</v>
      </c>
      <c r="V1656" s="24" t="str">
        <f>HYPERLINK("https://znanium.ru/catalog/product/1865188", "Ознакомиться")</f>
        <v>Ознакомиться</v>
      </c>
      <c r="W1656" s="8" t="s">
        <v>232</v>
      </c>
      <c r="X1656" s="6"/>
      <c r="Y1656" s="6"/>
      <c r="Z1656" s="6"/>
      <c r="AA1656" s="6" t="s">
        <v>111</v>
      </c>
      <c r="AB1656" s="8"/>
    </row>
    <row r="1657" spans="1:28" s="4" customFormat="1" ht="51.95" customHeight="1">
      <c r="A1657" s="5">
        <v>0</v>
      </c>
      <c r="B1657" s="6" t="s">
        <v>9599</v>
      </c>
      <c r="C1657" s="7">
        <v>1176</v>
      </c>
      <c r="D1657" s="8" t="s">
        <v>9600</v>
      </c>
      <c r="E1657" s="8" t="s">
        <v>9601</v>
      </c>
      <c r="F1657" s="8" t="s">
        <v>9602</v>
      </c>
      <c r="G1657" s="6" t="s">
        <v>38</v>
      </c>
      <c r="H1657" s="6" t="s">
        <v>39</v>
      </c>
      <c r="I1657" s="8" t="s">
        <v>1879</v>
      </c>
      <c r="J1657" s="9">
        <v>1</v>
      </c>
      <c r="K1657" s="9">
        <v>216</v>
      </c>
      <c r="L1657" s="9">
        <v>2023</v>
      </c>
      <c r="M1657" s="8" t="s">
        <v>9603</v>
      </c>
      <c r="N1657" s="8" t="s">
        <v>42</v>
      </c>
      <c r="O1657" s="8" t="s">
        <v>189</v>
      </c>
      <c r="P1657" s="6" t="s">
        <v>44</v>
      </c>
      <c r="Q1657" s="8" t="s">
        <v>45</v>
      </c>
      <c r="R1657" s="10" t="s">
        <v>9604</v>
      </c>
      <c r="S1657" s="11"/>
      <c r="T1657" s="6"/>
      <c r="U1657" s="24" t="str">
        <f>HYPERLINK("https://media.infra-m.ru/2032/2032492/cover/2032492.jpg", "Обложка")</f>
        <v>Обложка</v>
      </c>
      <c r="V1657" s="24" t="str">
        <f>HYPERLINK("https://znanium.ru/catalog/product/2032492", "Ознакомиться")</f>
        <v>Ознакомиться</v>
      </c>
      <c r="W1657" s="8" t="s">
        <v>6507</v>
      </c>
      <c r="X1657" s="6"/>
      <c r="Y1657" s="6"/>
      <c r="Z1657" s="6"/>
      <c r="AA1657" s="6" t="s">
        <v>68</v>
      </c>
      <c r="AB1657" s="8"/>
    </row>
    <row r="1658" spans="1:28" s="4" customFormat="1" ht="44.1" customHeight="1">
      <c r="A1658" s="5">
        <v>0</v>
      </c>
      <c r="B1658" s="6" t="s">
        <v>9605</v>
      </c>
      <c r="C1658" s="13">
        <v>869.9</v>
      </c>
      <c r="D1658" s="8" t="s">
        <v>9606</v>
      </c>
      <c r="E1658" s="8" t="s">
        <v>9607</v>
      </c>
      <c r="F1658" s="8" t="s">
        <v>9608</v>
      </c>
      <c r="G1658" s="6" t="s">
        <v>38</v>
      </c>
      <c r="H1658" s="6" t="s">
        <v>39</v>
      </c>
      <c r="I1658" s="8" t="s">
        <v>40</v>
      </c>
      <c r="J1658" s="9">
        <v>1</v>
      </c>
      <c r="K1658" s="9">
        <v>160</v>
      </c>
      <c r="L1658" s="9">
        <v>2023</v>
      </c>
      <c r="M1658" s="8" t="s">
        <v>9609</v>
      </c>
      <c r="N1658" s="8" t="s">
        <v>54</v>
      </c>
      <c r="O1658" s="8" t="s">
        <v>55</v>
      </c>
      <c r="P1658" s="6" t="s">
        <v>44</v>
      </c>
      <c r="Q1658" s="8" t="s">
        <v>45</v>
      </c>
      <c r="R1658" s="10" t="s">
        <v>823</v>
      </c>
      <c r="S1658" s="11"/>
      <c r="T1658" s="6"/>
      <c r="U1658" s="24" t="str">
        <f>HYPERLINK("https://media.infra-m.ru/1911/1911171/cover/1911171.jpg", "Обложка")</f>
        <v>Обложка</v>
      </c>
      <c r="V1658" s="24" t="str">
        <f>HYPERLINK("https://znanium.ru/catalog/product/935507", "Ознакомиться")</f>
        <v>Ознакомиться</v>
      </c>
      <c r="W1658" s="8" t="s">
        <v>75</v>
      </c>
      <c r="X1658" s="6"/>
      <c r="Y1658" s="6"/>
      <c r="Z1658" s="6"/>
      <c r="AA1658" s="6" t="s">
        <v>290</v>
      </c>
      <c r="AB1658" s="8"/>
    </row>
    <row r="1659" spans="1:28" s="4" customFormat="1" ht="44.1" customHeight="1">
      <c r="A1659" s="5">
        <v>0</v>
      </c>
      <c r="B1659" s="6" t="s">
        <v>9610</v>
      </c>
      <c r="C1659" s="7">
        <v>2160</v>
      </c>
      <c r="D1659" s="8" t="s">
        <v>9611</v>
      </c>
      <c r="E1659" s="8" t="s">
        <v>9612</v>
      </c>
      <c r="F1659" s="8" t="s">
        <v>9613</v>
      </c>
      <c r="G1659" s="6" t="s">
        <v>132</v>
      </c>
      <c r="H1659" s="6" t="s">
        <v>39</v>
      </c>
      <c r="I1659" s="8" t="s">
        <v>40</v>
      </c>
      <c r="J1659" s="9">
        <v>1</v>
      </c>
      <c r="K1659" s="9">
        <v>340</v>
      </c>
      <c r="L1659" s="9">
        <v>2025</v>
      </c>
      <c r="M1659" s="8" t="s">
        <v>9614</v>
      </c>
      <c r="N1659" s="8" t="s">
        <v>42</v>
      </c>
      <c r="O1659" s="8" t="s">
        <v>101</v>
      </c>
      <c r="P1659" s="6" t="s">
        <v>44</v>
      </c>
      <c r="Q1659" s="8" t="s">
        <v>45</v>
      </c>
      <c r="R1659" s="10" t="s">
        <v>9615</v>
      </c>
      <c r="S1659" s="11"/>
      <c r="T1659" s="6"/>
      <c r="U1659" s="24" t="str">
        <f>HYPERLINK("https://media.infra-m.ru/2170/2170825/cover/2170825.jpg", "Обложка")</f>
        <v>Обложка</v>
      </c>
      <c r="V1659" s="24" t="str">
        <f>HYPERLINK("https://znanium.ru/catalog/product/2170825", "Ознакомиться")</f>
        <v>Ознакомиться</v>
      </c>
      <c r="W1659" s="8" t="s">
        <v>964</v>
      </c>
      <c r="X1659" s="6" t="s">
        <v>450</v>
      </c>
      <c r="Y1659" s="6"/>
      <c r="Z1659" s="6"/>
      <c r="AA1659" s="6" t="s">
        <v>159</v>
      </c>
      <c r="AB1659" s="8"/>
    </row>
    <row r="1660" spans="1:28" s="4" customFormat="1" ht="51.95" customHeight="1">
      <c r="A1660" s="5">
        <v>0</v>
      </c>
      <c r="B1660" s="6" t="s">
        <v>9616</v>
      </c>
      <c r="C1660" s="7">
        <v>1032</v>
      </c>
      <c r="D1660" s="8" t="s">
        <v>9617</v>
      </c>
      <c r="E1660" s="8" t="s">
        <v>9618</v>
      </c>
      <c r="F1660" s="8" t="s">
        <v>9619</v>
      </c>
      <c r="G1660" s="6" t="s">
        <v>38</v>
      </c>
      <c r="H1660" s="6" t="s">
        <v>39</v>
      </c>
      <c r="I1660" s="8" t="s">
        <v>40</v>
      </c>
      <c r="J1660" s="9">
        <v>1</v>
      </c>
      <c r="K1660" s="9">
        <v>225</v>
      </c>
      <c r="L1660" s="9">
        <v>2021</v>
      </c>
      <c r="M1660" s="8" t="s">
        <v>9620</v>
      </c>
      <c r="N1660" s="8" t="s">
        <v>42</v>
      </c>
      <c r="O1660" s="8" t="s">
        <v>101</v>
      </c>
      <c r="P1660" s="6" t="s">
        <v>44</v>
      </c>
      <c r="Q1660" s="8" t="s">
        <v>45</v>
      </c>
      <c r="R1660" s="10" t="s">
        <v>9621</v>
      </c>
      <c r="S1660" s="11"/>
      <c r="T1660" s="6"/>
      <c r="U1660" s="24" t="str">
        <f>HYPERLINK("https://media.infra-m.ru/1383/1383687/cover/1383687.jpg", "Обложка")</f>
        <v>Обложка</v>
      </c>
      <c r="V1660" s="24" t="str">
        <f>HYPERLINK("https://znanium.ru/catalog/product/1383687", "Ознакомиться")</f>
        <v>Ознакомиться</v>
      </c>
      <c r="W1660" s="8" t="s">
        <v>516</v>
      </c>
      <c r="X1660" s="6"/>
      <c r="Y1660" s="6"/>
      <c r="Z1660" s="6"/>
      <c r="AA1660" s="6" t="s">
        <v>199</v>
      </c>
      <c r="AB1660" s="8"/>
    </row>
    <row r="1661" spans="1:28" s="4" customFormat="1" ht="42" customHeight="1">
      <c r="A1661" s="5">
        <v>0</v>
      </c>
      <c r="B1661" s="6" t="s">
        <v>9622</v>
      </c>
      <c r="C1661" s="7">
        <v>1080</v>
      </c>
      <c r="D1661" s="8" t="s">
        <v>9623</v>
      </c>
      <c r="E1661" s="8" t="s">
        <v>9624</v>
      </c>
      <c r="F1661" s="8" t="s">
        <v>9625</v>
      </c>
      <c r="G1661" s="6" t="s">
        <v>38</v>
      </c>
      <c r="H1661" s="6" t="s">
        <v>39</v>
      </c>
      <c r="I1661" s="8" t="s">
        <v>40</v>
      </c>
      <c r="J1661" s="9">
        <v>1</v>
      </c>
      <c r="K1661" s="9">
        <v>194</v>
      </c>
      <c r="L1661" s="9">
        <v>2024</v>
      </c>
      <c r="M1661" s="8" t="s">
        <v>9626</v>
      </c>
      <c r="N1661" s="8" t="s">
        <v>42</v>
      </c>
      <c r="O1661" s="8" t="s">
        <v>189</v>
      </c>
      <c r="P1661" s="6" t="s">
        <v>44</v>
      </c>
      <c r="Q1661" s="8" t="s">
        <v>45</v>
      </c>
      <c r="R1661" s="10" t="s">
        <v>3755</v>
      </c>
      <c r="S1661" s="11"/>
      <c r="T1661" s="6"/>
      <c r="U1661" s="24" t="str">
        <f>HYPERLINK("https://media.infra-m.ru/2106/2106199/cover/2106199.jpg", "Обложка")</f>
        <v>Обложка</v>
      </c>
      <c r="V1661" s="24" t="str">
        <f>HYPERLINK("https://znanium.ru/catalog/product/2106199", "Ознакомиться")</f>
        <v>Ознакомиться</v>
      </c>
      <c r="W1661" s="8" t="s">
        <v>3715</v>
      </c>
      <c r="X1661" s="6"/>
      <c r="Y1661" s="6"/>
      <c r="Z1661" s="6"/>
      <c r="AA1661" s="6" t="s">
        <v>127</v>
      </c>
      <c r="AB1661" s="8"/>
    </row>
    <row r="1662" spans="1:28" s="4" customFormat="1" ht="42" customHeight="1">
      <c r="A1662" s="5">
        <v>0</v>
      </c>
      <c r="B1662" s="6" t="s">
        <v>9627</v>
      </c>
      <c r="C1662" s="7">
        <v>4944</v>
      </c>
      <c r="D1662" s="8" t="s">
        <v>9628</v>
      </c>
      <c r="E1662" s="8" t="s">
        <v>9629</v>
      </c>
      <c r="F1662" s="8" t="s">
        <v>9630</v>
      </c>
      <c r="G1662" s="6" t="s">
        <v>132</v>
      </c>
      <c r="H1662" s="6" t="s">
        <v>99</v>
      </c>
      <c r="I1662" s="8"/>
      <c r="J1662" s="9">
        <v>1</v>
      </c>
      <c r="K1662" s="9">
        <v>792</v>
      </c>
      <c r="L1662" s="9">
        <v>2026</v>
      </c>
      <c r="M1662" s="8" t="s">
        <v>9631</v>
      </c>
      <c r="N1662" s="8" t="s">
        <v>42</v>
      </c>
      <c r="O1662" s="8" t="s">
        <v>101</v>
      </c>
      <c r="P1662" s="6" t="s">
        <v>44</v>
      </c>
      <c r="Q1662" s="8" t="s">
        <v>45</v>
      </c>
      <c r="R1662" s="10" t="s">
        <v>874</v>
      </c>
      <c r="S1662" s="11"/>
      <c r="T1662" s="6"/>
      <c r="U1662" s="24" t="str">
        <f>HYPERLINK("https://media.infra-m.ru/2216/2216583/cover/2216583.jpg", "Обложка")</f>
        <v>Обложка</v>
      </c>
      <c r="V1662" s="24" t="str">
        <f>HYPERLINK("https://znanium.ru/catalog/product/2216583", "Ознакомиться")</f>
        <v>Ознакомиться</v>
      </c>
      <c r="W1662" s="8"/>
      <c r="X1662" s="6"/>
      <c r="Y1662" s="6"/>
      <c r="Z1662" s="6"/>
      <c r="AA1662" s="6" t="s">
        <v>111</v>
      </c>
      <c r="AB1662" s="8"/>
    </row>
    <row r="1663" spans="1:28" s="4" customFormat="1" ht="42" customHeight="1">
      <c r="A1663" s="5">
        <v>0</v>
      </c>
      <c r="B1663" s="6" t="s">
        <v>9632</v>
      </c>
      <c r="C1663" s="7">
        <v>1248</v>
      </c>
      <c r="D1663" s="8" t="s">
        <v>9633</v>
      </c>
      <c r="E1663" s="8" t="s">
        <v>9634</v>
      </c>
      <c r="F1663" s="8" t="s">
        <v>8835</v>
      </c>
      <c r="G1663" s="6" t="s">
        <v>132</v>
      </c>
      <c r="H1663" s="6" t="s">
        <v>39</v>
      </c>
      <c r="I1663" s="8" t="s">
        <v>40</v>
      </c>
      <c r="J1663" s="9">
        <v>1</v>
      </c>
      <c r="K1663" s="9">
        <v>217</v>
      </c>
      <c r="L1663" s="9">
        <v>2024</v>
      </c>
      <c r="M1663" s="8" t="s">
        <v>9635</v>
      </c>
      <c r="N1663" s="8" t="s">
        <v>54</v>
      </c>
      <c r="O1663" s="8" t="s">
        <v>91</v>
      </c>
      <c r="P1663" s="6" t="s">
        <v>44</v>
      </c>
      <c r="Q1663" s="8" t="s">
        <v>45</v>
      </c>
      <c r="R1663" s="10" t="s">
        <v>9636</v>
      </c>
      <c r="S1663" s="11"/>
      <c r="T1663" s="6"/>
      <c r="U1663" s="24" t="str">
        <f>HYPERLINK("https://media.infra-m.ru/2079/2079759/cover/2079759.jpg", "Обложка")</f>
        <v>Обложка</v>
      </c>
      <c r="V1663" s="24" t="str">
        <f>HYPERLINK("https://znanium.ru/catalog/product/2079759", "Ознакомиться")</f>
        <v>Ознакомиться</v>
      </c>
      <c r="W1663" s="8" t="s">
        <v>8838</v>
      </c>
      <c r="X1663" s="6"/>
      <c r="Y1663" s="6"/>
      <c r="Z1663" s="6"/>
      <c r="AA1663" s="6" t="s">
        <v>58</v>
      </c>
      <c r="AB1663" s="8" t="s">
        <v>255</v>
      </c>
    </row>
    <row r="1664" spans="1:28" s="4" customFormat="1" ht="42" customHeight="1">
      <c r="A1664" s="5">
        <v>0</v>
      </c>
      <c r="B1664" s="6" t="s">
        <v>9637</v>
      </c>
      <c r="C1664" s="7">
        <v>1104</v>
      </c>
      <c r="D1664" s="8" t="s">
        <v>9638</v>
      </c>
      <c r="E1664" s="8" t="s">
        <v>9639</v>
      </c>
      <c r="F1664" s="8" t="s">
        <v>9640</v>
      </c>
      <c r="G1664" s="6" t="s">
        <v>81</v>
      </c>
      <c r="H1664" s="6" t="s">
        <v>99</v>
      </c>
      <c r="I1664" s="8"/>
      <c r="J1664" s="9">
        <v>1</v>
      </c>
      <c r="K1664" s="9">
        <v>192</v>
      </c>
      <c r="L1664" s="9">
        <v>2024</v>
      </c>
      <c r="M1664" s="8" t="s">
        <v>9641</v>
      </c>
      <c r="N1664" s="8" t="s">
        <v>42</v>
      </c>
      <c r="O1664" s="8" t="s">
        <v>101</v>
      </c>
      <c r="P1664" s="6" t="s">
        <v>44</v>
      </c>
      <c r="Q1664" s="8" t="s">
        <v>45</v>
      </c>
      <c r="R1664" s="10" t="s">
        <v>9642</v>
      </c>
      <c r="S1664" s="11"/>
      <c r="T1664" s="6"/>
      <c r="U1664" s="24" t="str">
        <f>HYPERLINK("https://media.infra-m.ru/2135/2135815/cover/2135815.jpg", "Обложка")</f>
        <v>Обложка</v>
      </c>
      <c r="V1664" s="24" t="str">
        <f>HYPERLINK("https://znanium.ru/catalog/product/2135815", "Ознакомиться")</f>
        <v>Ознакомиться</v>
      </c>
      <c r="W1664" s="8" t="s">
        <v>418</v>
      </c>
      <c r="X1664" s="6"/>
      <c r="Y1664" s="6"/>
      <c r="Z1664" s="6"/>
      <c r="AA1664" s="6" t="s">
        <v>68</v>
      </c>
      <c r="AB1664" s="8"/>
    </row>
    <row r="1665" spans="1:28" s="4" customFormat="1" ht="51.95" customHeight="1">
      <c r="A1665" s="5">
        <v>0</v>
      </c>
      <c r="B1665" s="6" t="s">
        <v>9643</v>
      </c>
      <c r="C1665" s="7">
        <v>1060.8</v>
      </c>
      <c r="D1665" s="8" t="s">
        <v>9644</v>
      </c>
      <c r="E1665" s="8" t="s">
        <v>9645</v>
      </c>
      <c r="F1665" s="8" t="s">
        <v>9646</v>
      </c>
      <c r="G1665" s="6" t="s">
        <v>38</v>
      </c>
      <c r="H1665" s="6" t="s">
        <v>326</v>
      </c>
      <c r="I1665" s="8"/>
      <c r="J1665" s="9">
        <v>1</v>
      </c>
      <c r="K1665" s="9">
        <v>176</v>
      </c>
      <c r="L1665" s="9">
        <v>2025</v>
      </c>
      <c r="M1665" s="8" t="s">
        <v>9647</v>
      </c>
      <c r="N1665" s="8" t="s">
        <v>54</v>
      </c>
      <c r="O1665" s="8" t="s">
        <v>117</v>
      </c>
      <c r="P1665" s="6" t="s">
        <v>44</v>
      </c>
      <c r="Q1665" s="8" t="s">
        <v>45</v>
      </c>
      <c r="R1665" s="10" t="s">
        <v>9648</v>
      </c>
      <c r="S1665" s="11"/>
      <c r="T1665" s="6"/>
      <c r="U1665" s="24" t="str">
        <f>HYPERLINK("https://media.infra-m.ru/2159/2159182/cover/2159182.jpg", "Обложка")</f>
        <v>Обложка</v>
      </c>
      <c r="V1665" s="12"/>
      <c r="W1665" s="8" t="s">
        <v>9649</v>
      </c>
      <c r="X1665" s="6"/>
      <c r="Y1665" s="6"/>
      <c r="Z1665" s="6"/>
      <c r="AA1665" s="6" t="s">
        <v>94</v>
      </c>
      <c r="AB1665" s="8"/>
    </row>
    <row r="1666" spans="1:28" s="4" customFormat="1" ht="51.95" customHeight="1">
      <c r="A1666" s="5">
        <v>0</v>
      </c>
      <c r="B1666" s="6" t="s">
        <v>9650</v>
      </c>
      <c r="C1666" s="7">
        <v>1128</v>
      </c>
      <c r="D1666" s="8" t="s">
        <v>9651</v>
      </c>
      <c r="E1666" s="8" t="s">
        <v>9652</v>
      </c>
      <c r="F1666" s="8" t="s">
        <v>9653</v>
      </c>
      <c r="G1666" s="6" t="s">
        <v>38</v>
      </c>
      <c r="H1666" s="6" t="s">
        <v>39</v>
      </c>
      <c r="I1666" s="8" t="s">
        <v>40</v>
      </c>
      <c r="J1666" s="9">
        <v>1</v>
      </c>
      <c r="K1666" s="9">
        <v>198</v>
      </c>
      <c r="L1666" s="9">
        <v>2022</v>
      </c>
      <c r="M1666" s="8" t="s">
        <v>9654</v>
      </c>
      <c r="N1666" s="8" t="s">
        <v>42</v>
      </c>
      <c r="O1666" s="8" t="s">
        <v>189</v>
      </c>
      <c r="P1666" s="6" t="s">
        <v>44</v>
      </c>
      <c r="Q1666" s="8" t="s">
        <v>45</v>
      </c>
      <c r="R1666" s="10" t="s">
        <v>9655</v>
      </c>
      <c r="S1666" s="11"/>
      <c r="T1666" s="6"/>
      <c r="U1666" s="24" t="str">
        <f>HYPERLINK("https://media.infra-m.ru/1870/1870593/cover/1870593.jpg", "Обложка")</f>
        <v>Обложка</v>
      </c>
      <c r="V1666" s="24" t="str">
        <f>HYPERLINK("https://znanium.ru/catalog/product/1870593", "Ознакомиться")</f>
        <v>Ознакомиться</v>
      </c>
      <c r="W1666" s="8" t="s">
        <v>5109</v>
      </c>
      <c r="X1666" s="6"/>
      <c r="Y1666" s="6"/>
      <c r="Z1666" s="6"/>
      <c r="AA1666" s="6" t="s">
        <v>111</v>
      </c>
      <c r="AB1666" s="8" t="s">
        <v>5038</v>
      </c>
    </row>
    <row r="1667" spans="1:28" s="4" customFormat="1" ht="42" customHeight="1">
      <c r="A1667" s="5">
        <v>0</v>
      </c>
      <c r="B1667" s="6" t="s">
        <v>9656</v>
      </c>
      <c r="C1667" s="7">
        <v>1864.8</v>
      </c>
      <c r="D1667" s="8" t="s">
        <v>9657</v>
      </c>
      <c r="E1667" s="8" t="s">
        <v>9658</v>
      </c>
      <c r="F1667" s="8" t="s">
        <v>9659</v>
      </c>
      <c r="G1667" s="6" t="s">
        <v>38</v>
      </c>
      <c r="H1667" s="6" t="s">
        <v>182</v>
      </c>
      <c r="I1667" s="8" t="s">
        <v>40</v>
      </c>
      <c r="J1667" s="9">
        <v>1</v>
      </c>
      <c r="K1667" s="9">
        <v>299</v>
      </c>
      <c r="L1667" s="9">
        <v>2025</v>
      </c>
      <c r="M1667" s="8" t="s">
        <v>9660</v>
      </c>
      <c r="N1667" s="8" t="s">
        <v>220</v>
      </c>
      <c r="O1667" s="8" t="s">
        <v>252</v>
      </c>
      <c r="P1667" s="6" t="s">
        <v>44</v>
      </c>
      <c r="Q1667" s="8" t="s">
        <v>45</v>
      </c>
      <c r="R1667" s="10" t="s">
        <v>9661</v>
      </c>
      <c r="S1667" s="11"/>
      <c r="T1667" s="6"/>
      <c r="U1667" s="24" t="str">
        <f>HYPERLINK("https://media.infra-m.ru/1894/1894491/cover/1894491.jpg", "Обложка")</f>
        <v>Обложка</v>
      </c>
      <c r="V1667" s="24" t="str">
        <f>HYPERLINK("https://znanium.ru/catalog/product/1844304", "Ознакомиться")</f>
        <v>Ознакомиться</v>
      </c>
      <c r="W1667" s="8"/>
      <c r="X1667" s="6"/>
      <c r="Y1667" s="6"/>
      <c r="Z1667" s="6"/>
      <c r="AA1667" s="6" t="s">
        <v>127</v>
      </c>
      <c r="AB1667" s="8"/>
    </row>
    <row r="1668" spans="1:28" s="4" customFormat="1" ht="42" customHeight="1">
      <c r="A1668" s="5">
        <v>0</v>
      </c>
      <c r="B1668" s="6" t="s">
        <v>9662</v>
      </c>
      <c r="C1668" s="13">
        <v>857.9</v>
      </c>
      <c r="D1668" s="8" t="s">
        <v>9663</v>
      </c>
      <c r="E1668" s="8" t="s">
        <v>9664</v>
      </c>
      <c r="F1668" s="8" t="s">
        <v>5191</v>
      </c>
      <c r="G1668" s="6" t="s">
        <v>132</v>
      </c>
      <c r="H1668" s="6" t="s">
        <v>39</v>
      </c>
      <c r="I1668" s="8" t="s">
        <v>344</v>
      </c>
      <c r="J1668" s="9">
        <v>1</v>
      </c>
      <c r="K1668" s="9">
        <v>203</v>
      </c>
      <c r="L1668" s="9">
        <v>2020</v>
      </c>
      <c r="M1668" s="8" t="s">
        <v>9665</v>
      </c>
      <c r="N1668" s="8" t="s">
        <v>54</v>
      </c>
      <c r="O1668" s="8" t="s">
        <v>91</v>
      </c>
      <c r="P1668" s="6" t="s">
        <v>44</v>
      </c>
      <c r="Q1668" s="8" t="s">
        <v>45</v>
      </c>
      <c r="R1668" s="10" t="s">
        <v>2748</v>
      </c>
      <c r="S1668" s="11"/>
      <c r="T1668" s="6"/>
      <c r="U1668" s="24" t="str">
        <f>HYPERLINK("https://media.infra-m.ru/1045/1045746/cover/1045746.jpg", "Обложка")</f>
        <v>Обложка</v>
      </c>
      <c r="V1668" s="12"/>
      <c r="W1668" s="8" t="s">
        <v>346</v>
      </c>
      <c r="X1668" s="6"/>
      <c r="Y1668" s="6"/>
      <c r="Z1668" s="6"/>
      <c r="AA1668" s="6" t="s">
        <v>9666</v>
      </c>
      <c r="AB1668" s="8"/>
    </row>
    <row r="1669" spans="1:28" s="4" customFormat="1" ht="42" customHeight="1">
      <c r="A1669" s="5">
        <v>0</v>
      </c>
      <c r="B1669" s="6" t="s">
        <v>9667</v>
      </c>
      <c r="C1669" s="7">
        <v>2328</v>
      </c>
      <c r="D1669" s="8" t="s">
        <v>9668</v>
      </c>
      <c r="E1669" s="8" t="s">
        <v>9669</v>
      </c>
      <c r="F1669" s="8" t="s">
        <v>9670</v>
      </c>
      <c r="G1669" s="6" t="s">
        <v>38</v>
      </c>
      <c r="H1669" s="6" t="s">
        <v>39</v>
      </c>
      <c r="I1669" s="8" t="s">
        <v>40</v>
      </c>
      <c r="J1669" s="9">
        <v>1</v>
      </c>
      <c r="K1669" s="9">
        <v>421</v>
      </c>
      <c r="L1669" s="9">
        <v>2023</v>
      </c>
      <c r="M1669" s="8" t="s">
        <v>9671</v>
      </c>
      <c r="N1669" s="8" t="s">
        <v>220</v>
      </c>
      <c r="O1669" s="8" t="s">
        <v>296</v>
      </c>
      <c r="P1669" s="6" t="s">
        <v>44</v>
      </c>
      <c r="Q1669" s="8" t="s">
        <v>45</v>
      </c>
      <c r="R1669" s="10" t="s">
        <v>9672</v>
      </c>
      <c r="S1669" s="11"/>
      <c r="T1669" s="6"/>
      <c r="U1669" s="24" t="str">
        <f>HYPERLINK("https://media.infra-m.ru/2023/2023195/cover/2023195.jpg", "Обложка")</f>
        <v>Обложка</v>
      </c>
      <c r="V1669" s="24" t="str">
        <f>HYPERLINK("https://znanium.ru/catalog/product/2023195", "Ознакомиться")</f>
        <v>Ознакомиться</v>
      </c>
      <c r="W1669" s="8" t="s">
        <v>191</v>
      </c>
      <c r="X1669" s="6"/>
      <c r="Y1669" s="6"/>
      <c r="Z1669" s="6"/>
      <c r="AA1669" s="6" t="s">
        <v>111</v>
      </c>
      <c r="AB1669" s="8"/>
    </row>
    <row r="1670" spans="1:28" s="4" customFormat="1" ht="51.95" customHeight="1">
      <c r="A1670" s="5">
        <v>0</v>
      </c>
      <c r="B1670" s="6" t="s">
        <v>9673</v>
      </c>
      <c r="C1670" s="7">
        <v>1168.8</v>
      </c>
      <c r="D1670" s="8" t="s">
        <v>9674</v>
      </c>
      <c r="E1670" s="8" t="s">
        <v>9675</v>
      </c>
      <c r="F1670" s="8" t="s">
        <v>6296</v>
      </c>
      <c r="G1670" s="6" t="s">
        <v>81</v>
      </c>
      <c r="H1670" s="6" t="s">
        <v>39</v>
      </c>
      <c r="I1670" s="8" t="s">
        <v>40</v>
      </c>
      <c r="J1670" s="9">
        <v>1</v>
      </c>
      <c r="K1670" s="9">
        <v>207</v>
      </c>
      <c r="L1670" s="9">
        <v>2024</v>
      </c>
      <c r="M1670" s="8" t="s">
        <v>9676</v>
      </c>
      <c r="N1670" s="8" t="s">
        <v>220</v>
      </c>
      <c r="O1670" s="8" t="s">
        <v>296</v>
      </c>
      <c r="P1670" s="6" t="s">
        <v>44</v>
      </c>
      <c r="Q1670" s="8" t="s">
        <v>1152</v>
      </c>
      <c r="R1670" s="10" t="s">
        <v>9677</v>
      </c>
      <c r="S1670" s="11"/>
      <c r="T1670" s="6"/>
      <c r="U1670" s="24" t="str">
        <f>HYPERLINK("https://media.infra-m.ru/2136/2136022/cover/2136022.jpg", "Обложка")</f>
        <v>Обложка</v>
      </c>
      <c r="V1670" s="24" t="str">
        <f>HYPERLINK("https://znanium.ru/catalog/product/1032987", "Ознакомиться")</f>
        <v>Ознакомиться</v>
      </c>
      <c r="W1670" s="8" t="s">
        <v>5443</v>
      </c>
      <c r="X1670" s="6"/>
      <c r="Y1670" s="6"/>
      <c r="Z1670" s="6"/>
      <c r="AA1670" s="6" t="s">
        <v>9678</v>
      </c>
      <c r="AB1670" s="8"/>
    </row>
    <row r="1671" spans="1:28" s="4" customFormat="1" ht="51.95" customHeight="1">
      <c r="A1671" s="5">
        <v>0</v>
      </c>
      <c r="B1671" s="6" t="s">
        <v>9679</v>
      </c>
      <c r="C1671" s="7">
        <v>1000.8</v>
      </c>
      <c r="D1671" s="8" t="s">
        <v>9680</v>
      </c>
      <c r="E1671" s="8" t="s">
        <v>9681</v>
      </c>
      <c r="F1671" s="8" t="s">
        <v>9682</v>
      </c>
      <c r="G1671" s="6" t="s">
        <v>26</v>
      </c>
      <c r="H1671" s="6" t="s">
        <v>99</v>
      </c>
      <c r="I1671" s="8"/>
      <c r="J1671" s="9">
        <v>1</v>
      </c>
      <c r="K1671" s="9">
        <v>160</v>
      </c>
      <c r="L1671" s="9">
        <v>2025</v>
      </c>
      <c r="M1671" s="8" t="s">
        <v>9683</v>
      </c>
      <c r="N1671" s="8" t="s">
        <v>42</v>
      </c>
      <c r="O1671" s="8" t="s">
        <v>101</v>
      </c>
      <c r="P1671" s="6" t="s">
        <v>44</v>
      </c>
      <c r="Q1671" s="8" t="s">
        <v>1152</v>
      </c>
      <c r="R1671" s="10" t="s">
        <v>9684</v>
      </c>
      <c r="S1671" s="11"/>
      <c r="T1671" s="6"/>
      <c r="U1671" s="24" t="str">
        <f>HYPERLINK("https://media.infra-m.ru/2184/2184903/cover/2184903.jpg", "Обложка")</f>
        <v>Обложка</v>
      </c>
      <c r="V1671" s="24" t="str">
        <f>HYPERLINK("https://znanium.ru/catalog/product/1068676", "Ознакомиться")</f>
        <v>Ознакомиться</v>
      </c>
      <c r="W1671" s="8" t="s">
        <v>418</v>
      </c>
      <c r="X1671" s="6"/>
      <c r="Y1671" s="6"/>
      <c r="Z1671" s="6"/>
      <c r="AA1671" s="6" t="s">
        <v>290</v>
      </c>
      <c r="AB1671" s="8"/>
    </row>
    <row r="1672" spans="1:28" s="4" customFormat="1" ht="42" customHeight="1">
      <c r="A1672" s="5">
        <v>0</v>
      </c>
      <c r="B1672" s="6" t="s">
        <v>9685</v>
      </c>
      <c r="C1672" s="7">
        <v>1000.8</v>
      </c>
      <c r="D1672" s="8" t="s">
        <v>9686</v>
      </c>
      <c r="E1672" s="8" t="s">
        <v>9687</v>
      </c>
      <c r="F1672" s="8" t="s">
        <v>1371</v>
      </c>
      <c r="G1672" s="6" t="s">
        <v>81</v>
      </c>
      <c r="H1672" s="6" t="s">
        <v>99</v>
      </c>
      <c r="I1672" s="8"/>
      <c r="J1672" s="9">
        <v>1</v>
      </c>
      <c r="K1672" s="9">
        <v>176</v>
      </c>
      <c r="L1672" s="9">
        <v>2024</v>
      </c>
      <c r="M1672" s="8" t="s">
        <v>9688</v>
      </c>
      <c r="N1672" s="8" t="s">
        <v>42</v>
      </c>
      <c r="O1672" s="8" t="s">
        <v>101</v>
      </c>
      <c r="P1672" s="6" t="s">
        <v>44</v>
      </c>
      <c r="Q1672" s="8" t="s">
        <v>45</v>
      </c>
      <c r="R1672" s="10" t="s">
        <v>9689</v>
      </c>
      <c r="S1672" s="11"/>
      <c r="T1672" s="6"/>
      <c r="U1672" s="24" t="str">
        <f>HYPERLINK("https://media.infra-m.ru/2148/2148587/cover/2148587.jpg", "Обложка")</f>
        <v>Обложка</v>
      </c>
      <c r="V1672" s="24" t="str">
        <f>HYPERLINK("https://znanium.ru/catalog/product/2148582", "Ознакомиться")</f>
        <v>Ознакомиться</v>
      </c>
      <c r="W1672" s="8" t="s">
        <v>418</v>
      </c>
      <c r="X1672" s="6"/>
      <c r="Y1672" s="6"/>
      <c r="Z1672" s="6"/>
      <c r="AA1672" s="6" t="s">
        <v>76</v>
      </c>
      <c r="AB1672" s="8"/>
    </row>
    <row r="1673" spans="1:28" s="4" customFormat="1" ht="44.1" customHeight="1">
      <c r="A1673" s="5">
        <v>0</v>
      </c>
      <c r="B1673" s="6" t="s">
        <v>9690</v>
      </c>
      <c r="C1673" s="7">
        <v>1536</v>
      </c>
      <c r="D1673" s="8" t="s">
        <v>9691</v>
      </c>
      <c r="E1673" s="8" t="s">
        <v>9692</v>
      </c>
      <c r="F1673" s="8" t="s">
        <v>9693</v>
      </c>
      <c r="G1673" s="6" t="s">
        <v>132</v>
      </c>
      <c r="H1673" s="6" t="s">
        <v>99</v>
      </c>
      <c r="I1673" s="8"/>
      <c r="J1673" s="9">
        <v>1</v>
      </c>
      <c r="K1673" s="9">
        <v>272</v>
      </c>
      <c r="L1673" s="9">
        <v>2024</v>
      </c>
      <c r="M1673" s="8" t="s">
        <v>9694</v>
      </c>
      <c r="N1673" s="8" t="s">
        <v>42</v>
      </c>
      <c r="O1673" s="8" t="s">
        <v>101</v>
      </c>
      <c r="P1673" s="6" t="s">
        <v>44</v>
      </c>
      <c r="Q1673" s="8" t="s">
        <v>1152</v>
      </c>
      <c r="R1673" s="10" t="s">
        <v>1536</v>
      </c>
      <c r="S1673" s="11"/>
      <c r="T1673" s="6"/>
      <c r="U1673" s="24" t="str">
        <f>HYPERLINK("https://media.infra-m.ru/2136/2136389/cover/2136389.jpg", "Обложка")</f>
        <v>Обложка</v>
      </c>
      <c r="V1673" s="24" t="str">
        <f>HYPERLINK("https://znanium.ru/catalog/product/2136389", "Ознакомиться")</f>
        <v>Ознакомиться</v>
      </c>
      <c r="W1673" s="8" t="s">
        <v>418</v>
      </c>
      <c r="X1673" s="6"/>
      <c r="Y1673" s="6"/>
      <c r="Z1673" s="6"/>
      <c r="AA1673" s="6" t="s">
        <v>2773</v>
      </c>
      <c r="AB1673" s="8"/>
    </row>
    <row r="1674" spans="1:28" s="4" customFormat="1" ht="44.1" customHeight="1">
      <c r="A1674" s="5">
        <v>0</v>
      </c>
      <c r="B1674" s="6" t="s">
        <v>9695</v>
      </c>
      <c r="C1674" s="7">
        <v>1380</v>
      </c>
      <c r="D1674" s="8" t="s">
        <v>9696</v>
      </c>
      <c r="E1674" s="8" t="s">
        <v>9697</v>
      </c>
      <c r="F1674" s="8" t="s">
        <v>9693</v>
      </c>
      <c r="G1674" s="6" t="s">
        <v>38</v>
      </c>
      <c r="H1674" s="6" t="s">
        <v>99</v>
      </c>
      <c r="I1674" s="8"/>
      <c r="J1674" s="9">
        <v>1</v>
      </c>
      <c r="K1674" s="9">
        <v>256</v>
      </c>
      <c r="L1674" s="9">
        <v>2023</v>
      </c>
      <c r="M1674" s="8" t="s">
        <v>9698</v>
      </c>
      <c r="N1674" s="8" t="s">
        <v>42</v>
      </c>
      <c r="O1674" s="8" t="s">
        <v>101</v>
      </c>
      <c r="P1674" s="6" t="s">
        <v>44</v>
      </c>
      <c r="Q1674" s="8" t="s">
        <v>1152</v>
      </c>
      <c r="R1674" s="10" t="s">
        <v>1536</v>
      </c>
      <c r="S1674" s="11"/>
      <c r="T1674" s="6"/>
      <c r="U1674" s="24" t="str">
        <f>HYPERLINK("https://media.infra-m.ru/1986/1986693/cover/1986693.jpg", "Обложка")</f>
        <v>Обложка</v>
      </c>
      <c r="V1674" s="24" t="str">
        <f>HYPERLINK("https://znanium.ru/catalog/product/2136389", "Ознакомиться")</f>
        <v>Ознакомиться</v>
      </c>
      <c r="W1674" s="8" t="s">
        <v>418</v>
      </c>
      <c r="X1674" s="6"/>
      <c r="Y1674" s="6"/>
      <c r="Z1674" s="6"/>
      <c r="AA1674" s="6" t="s">
        <v>377</v>
      </c>
      <c r="AB1674" s="8"/>
    </row>
    <row r="1675" spans="1:28" s="4" customFormat="1" ht="42" customHeight="1">
      <c r="A1675" s="5">
        <v>0</v>
      </c>
      <c r="B1675" s="6" t="s">
        <v>9699</v>
      </c>
      <c r="C1675" s="7">
        <v>1732.8</v>
      </c>
      <c r="D1675" s="8" t="s">
        <v>9700</v>
      </c>
      <c r="E1675" s="8" t="s">
        <v>9701</v>
      </c>
      <c r="F1675" s="8" t="s">
        <v>1371</v>
      </c>
      <c r="G1675" s="6" t="s">
        <v>81</v>
      </c>
      <c r="H1675" s="6" t="s">
        <v>99</v>
      </c>
      <c r="I1675" s="8"/>
      <c r="J1675" s="9">
        <v>1</v>
      </c>
      <c r="K1675" s="9">
        <v>288</v>
      </c>
      <c r="L1675" s="9">
        <v>2025</v>
      </c>
      <c r="M1675" s="8" t="s">
        <v>9702</v>
      </c>
      <c r="N1675" s="8" t="s">
        <v>42</v>
      </c>
      <c r="O1675" s="8" t="s">
        <v>101</v>
      </c>
      <c r="P1675" s="6" t="s">
        <v>44</v>
      </c>
      <c r="Q1675" s="8" t="s">
        <v>45</v>
      </c>
      <c r="R1675" s="10" t="s">
        <v>2137</v>
      </c>
      <c r="S1675" s="11"/>
      <c r="T1675" s="6"/>
      <c r="U1675" s="24" t="str">
        <f>HYPERLINK("https://media.infra-m.ru/2170/2170337/cover/2170337.jpg", "Обложка")</f>
        <v>Обложка</v>
      </c>
      <c r="V1675" s="24" t="str">
        <f>HYPERLINK("https://znanium.ru/catalog/product/1905970", "Ознакомиться")</f>
        <v>Ознакомиться</v>
      </c>
      <c r="W1675" s="8" t="s">
        <v>418</v>
      </c>
      <c r="X1675" s="6"/>
      <c r="Y1675" s="6"/>
      <c r="Z1675" s="6"/>
      <c r="AA1675" s="6" t="s">
        <v>369</v>
      </c>
      <c r="AB1675" s="8"/>
    </row>
    <row r="1676" spans="1:28" s="4" customFormat="1" ht="42" customHeight="1">
      <c r="A1676" s="5">
        <v>0</v>
      </c>
      <c r="B1676" s="6" t="s">
        <v>9703</v>
      </c>
      <c r="C1676" s="13">
        <v>876</v>
      </c>
      <c r="D1676" s="8" t="s">
        <v>9704</v>
      </c>
      <c r="E1676" s="8" t="s">
        <v>9705</v>
      </c>
      <c r="F1676" s="8" t="s">
        <v>9706</v>
      </c>
      <c r="G1676" s="6" t="s">
        <v>38</v>
      </c>
      <c r="H1676" s="6" t="s">
        <v>99</v>
      </c>
      <c r="I1676" s="8"/>
      <c r="J1676" s="9">
        <v>1</v>
      </c>
      <c r="K1676" s="9">
        <v>128</v>
      </c>
      <c r="L1676" s="9">
        <v>2025</v>
      </c>
      <c r="M1676" s="8" t="s">
        <v>9707</v>
      </c>
      <c r="N1676" s="8" t="s">
        <v>42</v>
      </c>
      <c r="O1676" s="8" t="s">
        <v>101</v>
      </c>
      <c r="P1676" s="6" t="s">
        <v>44</v>
      </c>
      <c r="Q1676" s="8" t="s">
        <v>45</v>
      </c>
      <c r="R1676" s="10" t="s">
        <v>2490</v>
      </c>
      <c r="S1676" s="11"/>
      <c r="T1676" s="6"/>
      <c r="U1676" s="24" t="str">
        <f>HYPERLINK("https://media.infra-m.ru/2217/2217133/cover/2217133.jpg", "Обложка")</f>
        <v>Обложка</v>
      </c>
      <c r="V1676" s="24" t="str">
        <f>HYPERLINK("https://znanium.ru/catalog/product/2115734", "Ознакомиться")</f>
        <v>Ознакомиться</v>
      </c>
      <c r="W1676" s="8" t="s">
        <v>418</v>
      </c>
      <c r="X1676" s="6"/>
      <c r="Y1676" s="6"/>
      <c r="Z1676" s="6"/>
      <c r="AA1676" s="6" t="s">
        <v>94</v>
      </c>
      <c r="AB1676" s="8"/>
    </row>
    <row r="1677" spans="1:28" s="4" customFormat="1" ht="42" customHeight="1">
      <c r="A1677" s="5">
        <v>0</v>
      </c>
      <c r="B1677" s="6" t="s">
        <v>9708</v>
      </c>
      <c r="C1677" s="7">
        <v>1728</v>
      </c>
      <c r="D1677" s="8" t="s">
        <v>9709</v>
      </c>
      <c r="E1677" s="8" t="s">
        <v>9710</v>
      </c>
      <c r="F1677" s="8" t="s">
        <v>9711</v>
      </c>
      <c r="G1677" s="6" t="s">
        <v>38</v>
      </c>
      <c r="H1677" s="6" t="s">
        <v>39</v>
      </c>
      <c r="I1677" s="8" t="s">
        <v>344</v>
      </c>
      <c r="J1677" s="9">
        <v>1</v>
      </c>
      <c r="K1677" s="9">
        <v>261</v>
      </c>
      <c r="L1677" s="9">
        <v>2026</v>
      </c>
      <c r="M1677" s="8" t="s">
        <v>9712</v>
      </c>
      <c r="N1677" s="8" t="s">
        <v>42</v>
      </c>
      <c r="O1677" s="8" t="s">
        <v>1002</v>
      </c>
      <c r="P1677" s="6" t="s">
        <v>44</v>
      </c>
      <c r="Q1677" s="8" t="s">
        <v>45</v>
      </c>
      <c r="R1677" s="10" t="s">
        <v>9713</v>
      </c>
      <c r="S1677" s="11"/>
      <c r="T1677" s="6"/>
      <c r="U1677" s="24" t="str">
        <f>HYPERLINK("https://media.infra-m.ru/2226/2226511/cover/2226511.jpg", "Обложка")</f>
        <v>Обложка</v>
      </c>
      <c r="V1677" s="24" t="str">
        <f>HYPERLINK("https://znanium.ru/catalog/product/2226511", "Ознакомиться")</f>
        <v>Ознакомиться</v>
      </c>
      <c r="W1677" s="8" t="s">
        <v>346</v>
      </c>
      <c r="X1677" s="6"/>
      <c r="Y1677" s="6"/>
      <c r="Z1677" s="6"/>
      <c r="AA1677" s="6" t="s">
        <v>168</v>
      </c>
      <c r="AB1677" s="8"/>
    </row>
    <row r="1678" spans="1:28" s="4" customFormat="1" ht="42" customHeight="1">
      <c r="A1678" s="5">
        <v>0</v>
      </c>
      <c r="B1678" s="6" t="s">
        <v>9714</v>
      </c>
      <c r="C1678" s="7">
        <v>1188</v>
      </c>
      <c r="D1678" s="8" t="s">
        <v>9715</v>
      </c>
      <c r="E1678" s="8" t="s">
        <v>9716</v>
      </c>
      <c r="F1678" s="8" t="s">
        <v>9368</v>
      </c>
      <c r="G1678" s="6" t="s">
        <v>81</v>
      </c>
      <c r="H1678" s="6" t="s">
        <v>99</v>
      </c>
      <c r="I1678" s="8"/>
      <c r="J1678" s="9">
        <v>1</v>
      </c>
      <c r="K1678" s="9">
        <v>184</v>
      </c>
      <c r="L1678" s="9">
        <v>2025</v>
      </c>
      <c r="M1678" s="8" t="s">
        <v>9717</v>
      </c>
      <c r="N1678" s="8" t="s">
        <v>42</v>
      </c>
      <c r="O1678" s="8" t="s">
        <v>101</v>
      </c>
      <c r="P1678" s="6" t="s">
        <v>44</v>
      </c>
      <c r="Q1678" s="8" t="s">
        <v>45</v>
      </c>
      <c r="R1678" s="10" t="s">
        <v>2946</v>
      </c>
      <c r="S1678" s="11"/>
      <c r="T1678" s="6"/>
      <c r="U1678" s="24" t="str">
        <f>HYPERLINK("https://media.infra-m.ru/2205/2205237/cover/2205237.jpg", "Обложка")</f>
        <v>Обложка</v>
      </c>
      <c r="V1678" s="24" t="str">
        <f>HYPERLINK("https://znanium.ru/catalog/product/2205237", "Ознакомиться")</f>
        <v>Ознакомиться</v>
      </c>
      <c r="W1678" s="8" t="s">
        <v>103</v>
      </c>
      <c r="X1678" s="6"/>
      <c r="Y1678" s="6"/>
      <c r="Z1678" s="6"/>
      <c r="AA1678" s="6" t="s">
        <v>68</v>
      </c>
      <c r="AB1678" s="8"/>
    </row>
    <row r="1679" spans="1:28" s="4" customFormat="1" ht="51.95" customHeight="1">
      <c r="A1679" s="5">
        <v>0</v>
      </c>
      <c r="B1679" s="6" t="s">
        <v>9718</v>
      </c>
      <c r="C1679" s="7">
        <v>1128</v>
      </c>
      <c r="D1679" s="8" t="s">
        <v>9719</v>
      </c>
      <c r="E1679" s="8" t="s">
        <v>9720</v>
      </c>
      <c r="F1679" s="8" t="s">
        <v>9721</v>
      </c>
      <c r="G1679" s="6" t="s">
        <v>38</v>
      </c>
      <c r="H1679" s="6" t="s">
        <v>39</v>
      </c>
      <c r="I1679" s="8" t="s">
        <v>40</v>
      </c>
      <c r="J1679" s="9">
        <v>1</v>
      </c>
      <c r="K1679" s="9">
        <v>204</v>
      </c>
      <c r="L1679" s="9">
        <v>2023</v>
      </c>
      <c r="M1679" s="8" t="s">
        <v>9722</v>
      </c>
      <c r="N1679" s="8" t="s">
        <v>42</v>
      </c>
      <c r="O1679" s="8" t="s">
        <v>101</v>
      </c>
      <c r="P1679" s="6" t="s">
        <v>44</v>
      </c>
      <c r="Q1679" s="8" t="s">
        <v>45</v>
      </c>
      <c r="R1679" s="10" t="s">
        <v>9723</v>
      </c>
      <c r="S1679" s="11"/>
      <c r="T1679" s="6"/>
      <c r="U1679" s="24" t="str">
        <f>HYPERLINK("https://media.infra-m.ru/2048/2048108/cover/2048108.jpg", "Обложка")</f>
        <v>Обложка</v>
      </c>
      <c r="V1679" s="24" t="str">
        <f>HYPERLINK("https://znanium.ru/catalog/product/2048108", "Ознакомиться")</f>
        <v>Ознакомиться</v>
      </c>
      <c r="W1679" s="8" t="s">
        <v>191</v>
      </c>
      <c r="X1679" s="6"/>
      <c r="Y1679" s="6"/>
      <c r="Z1679" s="6"/>
      <c r="AA1679" s="6" t="s">
        <v>119</v>
      </c>
      <c r="AB1679" s="8"/>
    </row>
    <row r="1680" spans="1:28" s="4" customFormat="1" ht="44.1" customHeight="1">
      <c r="A1680" s="5">
        <v>0</v>
      </c>
      <c r="B1680" s="6" t="s">
        <v>9724</v>
      </c>
      <c r="C1680" s="7">
        <v>1168.8</v>
      </c>
      <c r="D1680" s="8" t="s">
        <v>9725</v>
      </c>
      <c r="E1680" s="8" t="s">
        <v>9726</v>
      </c>
      <c r="F1680" s="8" t="s">
        <v>9727</v>
      </c>
      <c r="G1680" s="6" t="s">
        <v>38</v>
      </c>
      <c r="H1680" s="6" t="s">
        <v>1019</v>
      </c>
      <c r="I1680" s="8" t="s">
        <v>1020</v>
      </c>
      <c r="J1680" s="9">
        <v>1</v>
      </c>
      <c r="K1680" s="9">
        <v>157</v>
      </c>
      <c r="L1680" s="9">
        <v>2025</v>
      </c>
      <c r="M1680" s="8" t="s">
        <v>9728</v>
      </c>
      <c r="N1680" s="8" t="s">
        <v>42</v>
      </c>
      <c r="O1680" s="8" t="s">
        <v>189</v>
      </c>
      <c r="P1680" s="6" t="s">
        <v>44</v>
      </c>
      <c r="Q1680" s="8" t="s">
        <v>1152</v>
      </c>
      <c r="R1680" s="10" t="s">
        <v>573</v>
      </c>
      <c r="S1680" s="11"/>
      <c r="T1680" s="6"/>
      <c r="U1680" s="24" t="str">
        <f>HYPERLINK("https://media.infra-m.ru/2195/2195019/cover/2195019.jpg", "Обложка")</f>
        <v>Обложка</v>
      </c>
      <c r="V1680" s="24" t="str">
        <f>HYPERLINK("https://znanium.ru/catalog/product/882538", "Ознакомиться")</f>
        <v>Ознакомиться</v>
      </c>
      <c r="W1680" s="8" t="s">
        <v>167</v>
      </c>
      <c r="X1680" s="6"/>
      <c r="Y1680" s="6"/>
      <c r="Z1680" s="6"/>
      <c r="AA1680" s="6" t="s">
        <v>377</v>
      </c>
      <c r="AB1680" s="8"/>
    </row>
    <row r="1681" spans="1:28" s="4" customFormat="1" ht="42" customHeight="1">
      <c r="A1681" s="5">
        <v>0</v>
      </c>
      <c r="B1681" s="6" t="s">
        <v>9729</v>
      </c>
      <c r="C1681" s="7">
        <v>1104</v>
      </c>
      <c r="D1681" s="8" t="s">
        <v>9730</v>
      </c>
      <c r="E1681" s="8" t="s">
        <v>9731</v>
      </c>
      <c r="F1681" s="8" t="s">
        <v>5908</v>
      </c>
      <c r="G1681" s="6" t="s">
        <v>38</v>
      </c>
      <c r="H1681" s="6" t="s">
        <v>39</v>
      </c>
      <c r="I1681" s="8" t="s">
        <v>40</v>
      </c>
      <c r="J1681" s="9">
        <v>1</v>
      </c>
      <c r="K1681" s="9">
        <v>168</v>
      </c>
      <c r="L1681" s="9">
        <v>2026</v>
      </c>
      <c r="M1681" s="8" t="s">
        <v>9732</v>
      </c>
      <c r="N1681" s="8" t="s">
        <v>42</v>
      </c>
      <c r="O1681" s="8" t="s">
        <v>1002</v>
      </c>
      <c r="P1681" s="6" t="s">
        <v>44</v>
      </c>
      <c r="Q1681" s="8" t="s">
        <v>45</v>
      </c>
      <c r="R1681" s="10" t="s">
        <v>2748</v>
      </c>
      <c r="S1681" s="11"/>
      <c r="T1681" s="6"/>
      <c r="U1681" s="24" t="str">
        <f>HYPERLINK("https://media.infra-m.ru/2226/2226480/cover/2226480.jpg", "Обложка")</f>
        <v>Обложка</v>
      </c>
      <c r="V1681" s="24" t="str">
        <f>HYPERLINK("https://znanium.ru/catalog/product/2226480", "Ознакомиться")</f>
        <v>Ознакомиться</v>
      </c>
      <c r="W1681" s="8" t="s">
        <v>305</v>
      </c>
      <c r="X1681" s="6"/>
      <c r="Y1681" s="6"/>
      <c r="Z1681" s="6"/>
      <c r="AA1681" s="6" t="s">
        <v>48</v>
      </c>
      <c r="AB1681" s="8"/>
    </row>
    <row r="1682" spans="1:28" s="4" customFormat="1" ht="42" customHeight="1">
      <c r="A1682" s="5">
        <v>0</v>
      </c>
      <c r="B1682" s="6" t="s">
        <v>9733</v>
      </c>
      <c r="C1682" s="13">
        <v>509.9</v>
      </c>
      <c r="D1682" s="8" t="s">
        <v>9734</v>
      </c>
      <c r="E1682" s="8" t="s">
        <v>9735</v>
      </c>
      <c r="F1682" s="8" t="s">
        <v>9736</v>
      </c>
      <c r="G1682" s="6" t="s">
        <v>38</v>
      </c>
      <c r="H1682" s="6" t="s">
        <v>39</v>
      </c>
      <c r="I1682" s="8" t="s">
        <v>40</v>
      </c>
      <c r="J1682" s="9">
        <v>1</v>
      </c>
      <c r="K1682" s="9">
        <v>94</v>
      </c>
      <c r="L1682" s="9">
        <v>2023</v>
      </c>
      <c r="M1682" s="8" t="s">
        <v>9737</v>
      </c>
      <c r="N1682" s="8" t="s">
        <v>42</v>
      </c>
      <c r="O1682" s="8" t="s">
        <v>101</v>
      </c>
      <c r="P1682" s="6" t="s">
        <v>44</v>
      </c>
      <c r="Q1682" s="8" t="s">
        <v>45</v>
      </c>
      <c r="R1682" s="10" t="s">
        <v>600</v>
      </c>
      <c r="S1682" s="11"/>
      <c r="T1682" s="6"/>
      <c r="U1682" s="24" t="str">
        <f>HYPERLINK("https://media.infra-m.ru/1913/1913031/cover/1913031.jpg", "Обложка")</f>
        <v>Обложка</v>
      </c>
      <c r="V1682" s="24" t="str">
        <f>HYPERLINK("https://znanium.ru/catalog/product/513508", "Ознакомиться")</f>
        <v>Ознакомиться</v>
      </c>
      <c r="W1682" s="8" t="s">
        <v>191</v>
      </c>
      <c r="X1682" s="6"/>
      <c r="Y1682" s="6"/>
      <c r="Z1682" s="6"/>
      <c r="AA1682" s="6" t="s">
        <v>377</v>
      </c>
      <c r="AB1682" s="8"/>
    </row>
    <row r="1683" spans="1:28" s="4" customFormat="1" ht="42" customHeight="1">
      <c r="A1683" s="5">
        <v>0</v>
      </c>
      <c r="B1683" s="6" t="s">
        <v>9738</v>
      </c>
      <c r="C1683" s="7">
        <v>1188</v>
      </c>
      <c r="D1683" s="8" t="s">
        <v>9739</v>
      </c>
      <c r="E1683" s="8" t="s">
        <v>9740</v>
      </c>
      <c r="F1683" s="8" t="s">
        <v>9741</v>
      </c>
      <c r="G1683" s="6" t="s">
        <v>9742</v>
      </c>
      <c r="H1683" s="6" t="s">
        <v>39</v>
      </c>
      <c r="I1683" s="8"/>
      <c r="J1683" s="9">
        <v>1</v>
      </c>
      <c r="K1683" s="9">
        <v>191</v>
      </c>
      <c r="L1683" s="9">
        <v>2023</v>
      </c>
      <c r="M1683" s="8" t="s">
        <v>9743</v>
      </c>
      <c r="N1683" s="8" t="s">
        <v>54</v>
      </c>
      <c r="O1683" s="8" t="s">
        <v>91</v>
      </c>
      <c r="P1683" s="6" t="s">
        <v>44</v>
      </c>
      <c r="Q1683" s="8" t="s">
        <v>45</v>
      </c>
      <c r="R1683" s="10" t="s">
        <v>3174</v>
      </c>
      <c r="S1683" s="11"/>
      <c r="T1683" s="6"/>
      <c r="U1683" s="24" t="str">
        <f>HYPERLINK("https://media.infra-m.ru/2131/2131471/cover/2131471.jpg", "Обложка")</f>
        <v>Обложка</v>
      </c>
      <c r="V1683" s="24" t="str">
        <f>HYPERLINK("https://znanium.ru/catalog/product/2114827", "Ознакомиться")</f>
        <v>Ознакомиться</v>
      </c>
      <c r="W1683" s="8" t="s">
        <v>191</v>
      </c>
      <c r="X1683" s="6"/>
      <c r="Y1683" s="6"/>
      <c r="Z1683" s="6"/>
      <c r="AA1683" s="6" t="s">
        <v>119</v>
      </c>
      <c r="AB1683" s="8"/>
    </row>
    <row r="1684" spans="1:28" s="4" customFormat="1" ht="44.1" customHeight="1">
      <c r="A1684" s="5">
        <v>0</v>
      </c>
      <c r="B1684" s="6" t="s">
        <v>9744</v>
      </c>
      <c r="C1684" s="7">
        <v>1073.9000000000001</v>
      </c>
      <c r="D1684" s="8" t="s">
        <v>9745</v>
      </c>
      <c r="E1684" s="8" t="s">
        <v>9746</v>
      </c>
      <c r="F1684" s="8" t="s">
        <v>9747</v>
      </c>
      <c r="G1684" s="6" t="s">
        <v>38</v>
      </c>
      <c r="H1684" s="6" t="s">
        <v>39</v>
      </c>
      <c r="I1684" s="8" t="s">
        <v>40</v>
      </c>
      <c r="J1684" s="9">
        <v>1</v>
      </c>
      <c r="K1684" s="9">
        <v>198</v>
      </c>
      <c r="L1684" s="9">
        <v>2023</v>
      </c>
      <c r="M1684" s="8" t="s">
        <v>9748</v>
      </c>
      <c r="N1684" s="8" t="s">
        <v>54</v>
      </c>
      <c r="O1684" s="8" t="s">
        <v>55</v>
      </c>
      <c r="P1684" s="6" t="s">
        <v>44</v>
      </c>
      <c r="Q1684" s="8" t="s">
        <v>45</v>
      </c>
      <c r="R1684" s="10" t="s">
        <v>5355</v>
      </c>
      <c r="S1684" s="11"/>
      <c r="T1684" s="6"/>
      <c r="U1684" s="24" t="str">
        <f>HYPERLINK("https://media.infra-m.ru/1976/1976149/cover/1976149.jpg", "Обложка")</f>
        <v>Обложка</v>
      </c>
      <c r="V1684" s="24" t="str">
        <f>HYPERLINK("https://znanium.ru/catalog/product/1044190", "Ознакомиться")</f>
        <v>Ознакомиться</v>
      </c>
      <c r="W1684" s="8" t="s">
        <v>191</v>
      </c>
      <c r="X1684" s="6"/>
      <c r="Y1684" s="6"/>
      <c r="Z1684" s="6"/>
      <c r="AA1684" s="6" t="s">
        <v>199</v>
      </c>
      <c r="AB1684" s="8"/>
    </row>
    <row r="1685" spans="1:28" s="4" customFormat="1" ht="51.95" customHeight="1">
      <c r="A1685" s="5">
        <v>0</v>
      </c>
      <c r="B1685" s="6" t="s">
        <v>9749</v>
      </c>
      <c r="C1685" s="13">
        <v>924</v>
      </c>
      <c r="D1685" s="8" t="s">
        <v>9750</v>
      </c>
      <c r="E1685" s="8" t="s">
        <v>9751</v>
      </c>
      <c r="F1685" s="8" t="s">
        <v>9752</v>
      </c>
      <c r="G1685" s="6" t="s">
        <v>38</v>
      </c>
      <c r="H1685" s="6" t="s">
        <v>39</v>
      </c>
      <c r="I1685" s="8" t="s">
        <v>164</v>
      </c>
      <c r="J1685" s="9">
        <v>1</v>
      </c>
      <c r="K1685" s="9">
        <v>170</v>
      </c>
      <c r="L1685" s="9">
        <v>2022</v>
      </c>
      <c r="M1685" s="8" t="s">
        <v>9753</v>
      </c>
      <c r="N1685" s="8" t="s">
        <v>42</v>
      </c>
      <c r="O1685" s="8" t="s">
        <v>246</v>
      </c>
      <c r="P1685" s="6" t="s">
        <v>44</v>
      </c>
      <c r="Q1685" s="8" t="s">
        <v>45</v>
      </c>
      <c r="R1685" s="10" t="s">
        <v>9754</v>
      </c>
      <c r="S1685" s="11"/>
      <c r="T1685" s="6"/>
      <c r="U1685" s="24" t="str">
        <f>HYPERLINK("https://media.infra-m.ru/1873/1873865/cover/1873865.jpg", "Обложка")</f>
        <v>Обложка</v>
      </c>
      <c r="V1685" s="24" t="str">
        <f>HYPERLINK("https://znanium.ru/catalog/product/1873865", "Ознакомиться")</f>
        <v>Ознакомиться</v>
      </c>
      <c r="W1685" s="8" t="s">
        <v>167</v>
      </c>
      <c r="X1685" s="6"/>
      <c r="Y1685" s="6"/>
      <c r="Z1685" s="6"/>
      <c r="AA1685" s="6" t="s">
        <v>111</v>
      </c>
      <c r="AB1685" s="8"/>
    </row>
    <row r="1686" spans="1:28" s="4" customFormat="1" ht="44.1" customHeight="1">
      <c r="A1686" s="5">
        <v>0</v>
      </c>
      <c r="B1686" s="6" t="s">
        <v>9755</v>
      </c>
      <c r="C1686" s="7">
        <v>1168.8</v>
      </c>
      <c r="D1686" s="8" t="s">
        <v>9756</v>
      </c>
      <c r="E1686" s="8" t="s">
        <v>9757</v>
      </c>
      <c r="F1686" s="8" t="s">
        <v>9758</v>
      </c>
      <c r="G1686" s="6" t="s">
        <v>132</v>
      </c>
      <c r="H1686" s="6" t="s">
        <v>99</v>
      </c>
      <c r="I1686" s="8"/>
      <c r="J1686" s="9">
        <v>1</v>
      </c>
      <c r="K1686" s="9">
        <v>208</v>
      </c>
      <c r="L1686" s="9">
        <v>2024</v>
      </c>
      <c r="M1686" s="8" t="s">
        <v>9759</v>
      </c>
      <c r="N1686" s="8" t="s">
        <v>42</v>
      </c>
      <c r="O1686" s="8" t="s">
        <v>101</v>
      </c>
      <c r="P1686" s="6" t="s">
        <v>44</v>
      </c>
      <c r="Q1686" s="8" t="s">
        <v>45</v>
      </c>
      <c r="R1686" s="10" t="s">
        <v>1587</v>
      </c>
      <c r="S1686" s="11"/>
      <c r="T1686" s="6"/>
      <c r="U1686" s="24" t="str">
        <f>HYPERLINK("https://media.infra-m.ru/2133/2133518/cover/2133518.jpg", "Обложка")</f>
        <v>Обложка</v>
      </c>
      <c r="V1686" s="24" t="str">
        <f>HYPERLINK("https://znanium.ru/catalog/product/1035870", "Ознакомиться")</f>
        <v>Ознакомиться</v>
      </c>
      <c r="W1686" s="8" t="s">
        <v>2569</v>
      </c>
      <c r="X1686" s="6"/>
      <c r="Y1686" s="6"/>
      <c r="Z1686" s="6"/>
      <c r="AA1686" s="6" t="s">
        <v>339</v>
      </c>
      <c r="AB1686" s="8"/>
    </row>
    <row r="1687" spans="1:28" s="4" customFormat="1" ht="42" customHeight="1">
      <c r="A1687" s="5">
        <v>0</v>
      </c>
      <c r="B1687" s="6" t="s">
        <v>9760</v>
      </c>
      <c r="C1687" s="7">
        <v>1836</v>
      </c>
      <c r="D1687" s="8" t="s">
        <v>9761</v>
      </c>
      <c r="E1687" s="8" t="s">
        <v>9762</v>
      </c>
      <c r="F1687" s="8" t="s">
        <v>9763</v>
      </c>
      <c r="G1687" s="6" t="s">
        <v>132</v>
      </c>
      <c r="H1687" s="6" t="s">
        <v>182</v>
      </c>
      <c r="I1687" s="8" t="s">
        <v>3259</v>
      </c>
      <c r="J1687" s="9">
        <v>1</v>
      </c>
      <c r="K1687" s="9">
        <v>392</v>
      </c>
      <c r="L1687" s="9">
        <v>2022</v>
      </c>
      <c r="M1687" s="8" t="s">
        <v>9764</v>
      </c>
      <c r="N1687" s="8" t="s">
        <v>42</v>
      </c>
      <c r="O1687" s="8" t="s">
        <v>101</v>
      </c>
      <c r="P1687" s="6" t="s">
        <v>44</v>
      </c>
      <c r="Q1687" s="8" t="s">
        <v>45</v>
      </c>
      <c r="R1687" s="10" t="s">
        <v>9765</v>
      </c>
      <c r="S1687" s="11"/>
      <c r="T1687" s="6"/>
      <c r="U1687" s="24" t="str">
        <f>HYPERLINK("https://media.infra-m.ru/1862/1862568/cover/1862568.jpg", "Обложка")</f>
        <v>Обложка</v>
      </c>
      <c r="V1687" s="12"/>
      <c r="W1687" s="8" t="s">
        <v>686</v>
      </c>
      <c r="X1687" s="6"/>
      <c r="Y1687" s="6"/>
      <c r="Z1687" s="6"/>
      <c r="AA1687" s="6" t="s">
        <v>111</v>
      </c>
      <c r="AB1687" s="8"/>
    </row>
    <row r="1688" spans="1:28" s="4" customFormat="1" ht="44.1" customHeight="1">
      <c r="A1688" s="5">
        <v>0</v>
      </c>
      <c r="B1688" s="6" t="s">
        <v>9766</v>
      </c>
      <c r="C1688" s="7">
        <v>1188</v>
      </c>
      <c r="D1688" s="8" t="s">
        <v>9767</v>
      </c>
      <c r="E1688" s="8" t="s">
        <v>9768</v>
      </c>
      <c r="F1688" s="8" t="s">
        <v>9769</v>
      </c>
      <c r="G1688" s="6" t="s">
        <v>38</v>
      </c>
      <c r="H1688" s="6" t="s">
        <v>39</v>
      </c>
      <c r="I1688" s="8" t="s">
        <v>40</v>
      </c>
      <c r="J1688" s="9">
        <v>1</v>
      </c>
      <c r="K1688" s="9">
        <v>171</v>
      </c>
      <c r="L1688" s="9">
        <v>2026</v>
      </c>
      <c r="M1688" s="8" t="s">
        <v>9770</v>
      </c>
      <c r="N1688" s="8" t="s">
        <v>229</v>
      </c>
      <c r="O1688" s="8" t="s">
        <v>230</v>
      </c>
      <c r="P1688" s="6" t="s">
        <v>44</v>
      </c>
      <c r="Q1688" s="8" t="s">
        <v>45</v>
      </c>
      <c r="R1688" s="10" t="s">
        <v>7513</v>
      </c>
      <c r="S1688" s="11"/>
      <c r="T1688" s="6"/>
      <c r="U1688" s="24" t="str">
        <f>HYPERLINK("https://media.infra-m.ru/2206/2206491/cover/2206491.jpg", "Обложка")</f>
        <v>Обложка</v>
      </c>
      <c r="V1688" s="24" t="str">
        <f>HYPERLINK("https://znanium.ru/catalog/product/2206491", "Ознакомиться")</f>
        <v>Ознакомиться</v>
      </c>
      <c r="W1688" s="8" t="s">
        <v>791</v>
      </c>
      <c r="X1688" s="6" t="s">
        <v>1094</v>
      </c>
      <c r="Y1688" s="6"/>
      <c r="Z1688" s="6"/>
      <c r="AA1688" s="6" t="s">
        <v>159</v>
      </c>
      <c r="AB1688" s="8"/>
    </row>
    <row r="1689" spans="1:28" s="4" customFormat="1" ht="42" customHeight="1">
      <c r="A1689" s="5">
        <v>0</v>
      </c>
      <c r="B1689" s="6" t="s">
        <v>9771</v>
      </c>
      <c r="C1689" s="7">
        <v>1656</v>
      </c>
      <c r="D1689" s="8" t="s">
        <v>9772</v>
      </c>
      <c r="E1689" s="8" t="s">
        <v>9773</v>
      </c>
      <c r="F1689" s="8" t="s">
        <v>413</v>
      </c>
      <c r="G1689" s="6" t="s">
        <v>81</v>
      </c>
      <c r="H1689" s="6" t="s">
        <v>99</v>
      </c>
      <c r="I1689" s="8"/>
      <c r="J1689" s="9">
        <v>1</v>
      </c>
      <c r="K1689" s="9">
        <v>264</v>
      </c>
      <c r="L1689" s="9">
        <v>2025</v>
      </c>
      <c r="M1689" s="8" t="s">
        <v>9774</v>
      </c>
      <c r="N1689" s="8" t="s">
        <v>42</v>
      </c>
      <c r="O1689" s="8" t="s">
        <v>101</v>
      </c>
      <c r="P1689" s="6" t="s">
        <v>44</v>
      </c>
      <c r="Q1689" s="8" t="s">
        <v>45</v>
      </c>
      <c r="R1689" s="10" t="s">
        <v>2490</v>
      </c>
      <c r="S1689" s="11"/>
      <c r="T1689" s="6"/>
      <c r="U1689" s="24" t="str">
        <f>HYPERLINK("https://media.infra-m.ru/2202/2202515/cover/2202515.jpg", "Обложка")</f>
        <v>Обложка</v>
      </c>
      <c r="V1689" s="24" t="str">
        <f>HYPERLINK("https://znanium.ru/catalog/product/2202515", "Ознакомиться")</f>
        <v>Ознакомиться</v>
      </c>
      <c r="W1689" s="8" t="s">
        <v>418</v>
      </c>
      <c r="X1689" s="6"/>
      <c r="Y1689" s="6"/>
      <c r="Z1689" s="6"/>
      <c r="AA1689" s="6" t="s">
        <v>199</v>
      </c>
      <c r="AB1689" s="8"/>
    </row>
    <row r="1690" spans="1:28" s="4" customFormat="1" ht="42" customHeight="1">
      <c r="A1690" s="5">
        <v>0</v>
      </c>
      <c r="B1690" s="6" t="s">
        <v>9775</v>
      </c>
      <c r="C1690" s="13">
        <v>684</v>
      </c>
      <c r="D1690" s="8" t="s">
        <v>9776</v>
      </c>
      <c r="E1690" s="8" t="s">
        <v>9777</v>
      </c>
      <c r="F1690" s="8" t="s">
        <v>9778</v>
      </c>
      <c r="G1690" s="6" t="s">
        <v>38</v>
      </c>
      <c r="H1690" s="6" t="s">
        <v>39</v>
      </c>
      <c r="I1690" s="8" t="s">
        <v>40</v>
      </c>
      <c r="J1690" s="9">
        <v>1</v>
      </c>
      <c r="K1690" s="9">
        <v>89</v>
      </c>
      <c r="L1690" s="9">
        <v>2025</v>
      </c>
      <c r="M1690" s="8" t="s">
        <v>9779</v>
      </c>
      <c r="N1690" s="8" t="s">
        <v>54</v>
      </c>
      <c r="O1690" s="8" t="s">
        <v>117</v>
      </c>
      <c r="P1690" s="6" t="s">
        <v>44</v>
      </c>
      <c r="Q1690" s="8" t="s">
        <v>45</v>
      </c>
      <c r="R1690" s="10" t="s">
        <v>9780</v>
      </c>
      <c r="S1690" s="11"/>
      <c r="T1690" s="6"/>
      <c r="U1690" s="24" t="str">
        <f>HYPERLINK("https://media.infra-m.ru/2217/2217144/cover/2217144.jpg", "Обложка")</f>
        <v>Обложка</v>
      </c>
      <c r="V1690" s="24" t="str">
        <f>HYPERLINK("https://znanium.ru/catalog/product/2217144", "Ознакомиться")</f>
        <v>Ознакомиться</v>
      </c>
      <c r="W1690" s="8" t="s">
        <v>846</v>
      </c>
      <c r="X1690" s="6"/>
      <c r="Y1690" s="6"/>
      <c r="Z1690" s="6"/>
      <c r="AA1690" s="6" t="s">
        <v>339</v>
      </c>
      <c r="AB1690" s="8"/>
    </row>
    <row r="1691" spans="1:28" s="4" customFormat="1" ht="42" customHeight="1">
      <c r="A1691" s="5">
        <v>0</v>
      </c>
      <c r="B1691" s="6" t="s">
        <v>9781</v>
      </c>
      <c r="C1691" s="7">
        <v>1572</v>
      </c>
      <c r="D1691" s="8" t="s">
        <v>9782</v>
      </c>
      <c r="E1691" s="8" t="s">
        <v>9783</v>
      </c>
      <c r="F1691" s="8" t="s">
        <v>9784</v>
      </c>
      <c r="G1691" s="6" t="s">
        <v>38</v>
      </c>
      <c r="H1691" s="6" t="s">
        <v>39</v>
      </c>
      <c r="I1691" s="8" t="s">
        <v>40</v>
      </c>
      <c r="J1691" s="9">
        <v>1</v>
      </c>
      <c r="K1691" s="9">
        <v>239</v>
      </c>
      <c r="L1691" s="9">
        <v>2026</v>
      </c>
      <c r="M1691" s="8" t="s">
        <v>9785</v>
      </c>
      <c r="N1691" s="8" t="s">
        <v>284</v>
      </c>
      <c r="O1691" s="8" t="s">
        <v>2265</v>
      </c>
      <c r="P1691" s="6" t="s">
        <v>44</v>
      </c>
      <c r="Q1691" s="8" t="s">
        <v>45</v>
      </c>
      <c r="R1691" s="10" t="s">
        <v>4078</v>
      </c>
      <c r="S1691" s="11"/>
      <c r="T1691" s="6"/>
      <c r="U1691" s="24" t="str">
        <f>HYPERLINK("https://media.infra-m.ru/2225/2225636/cover/2225636.jpg", "Обложка")</f>
        <v>Обложка</v>
      </c>
      <c r="V1691" s="24" t="str">
        <f>HYPERLINK("https://znanium.ru/catalog/product/2225636", "Ознакомиться")</f>
        <v>Ознакомиться</v>
      </c>
      <c r="W1691" s="8" t="s">
        <v>1049</v>
      </c>
      <c r="X1691" s="6"/>
      <c r="Y1691" s="6"/>
      <c r="Z1691" s="6"/>
      <c r="AA1691" s="6" t="s">
        <v>48</v>
      </c>
      <c r="AB1691" s="8"/>
    </row>
    <row r="1692" spans="1:28" s="4" customFormat="1" ht="42" customHeight="1">
      <c r="A1692" s="5">
        <v>0</v>
      </c>
      <c r="B1692" s="6" t="s">
        <v>9786</v>
      </c>
      <c r="C1692" s="7">
        <v>3484.8</v>
      </c>
      <c r="D1692" s="8" t="s">
        <v>9787</v>
      </c>
      <c r="E1692" s="8" t="s">
        <v>9788</v>
      </c>
      <c r="F1692" s="8" t="s">
        <v>9789</v>
      </c>
      <c r="G1692" s="6" t="s">
        <v>81</v>
      </c>
      <c r="H1692" s="6" t="s">
        <v>99</v>
      </c>
      <c r="I1692" s="8"/>
      <c r="J1692" s="9">
        <v>1</v>
      </c>
      <c r="K1692" s="9">
        <v>528</v>
      </c>
      <c r="L1692" s="9">
        <v>2026</v>
      </c>
      <c r="M1692" s="8" t="s">
        <v>9790</v>
      </c>
      <c r="N1692" s="8" t="s">
        <v>42</v>
      </c>
      <c r="O1692" s="8" t="s">
        <v>101</v>
      </c>
      <c r="P1692" s="6" t="s">
        <v>44</v>
      </c>
      <c r="Q1692" s="8" t="s">
        <v>45</v>
      </c>
      <c r="R1692" s="10" t="s">
        <v>874</v>
      </c>
      <c r="S1692" s="11"/>
      <c r="T1692" s="6"/>
      <c r="U1692" s="24" t="str">
        <f>HYPERLINK("https://media.infra-m.ru/2221/2221163/cover/2221163.jpg", "Обложка")</f>
        <v>Обложка</v>
      </c>
      <c r="V1692" s="24" t="str">
        <f>HYPERLINK("https://znanium.ru/catalog/product/1991043", "Ознакомиться")</f>
        <v>Ознакомиться</v>
      </c>
      <c r="W1692" s="8" t="s">
        <v>418</v>
      </c>
      <c r="X1692" s="6"/>
      <c r="Y1692" s="6"/>
      <c r="Z1692" s="6"/>
      <c r="AA1692" s="6" t="s">
        <v>369</v>
      </c>
      <c r="AB1692" s="8"/>
    </row>
    <row r="1693" spans="1:28" s="4" customFormat="1" ht="42" customHeight="1">
      <c r="A1693" s="5">
        <v>0</v>
      </c>
      <c r="B1693" s="6" t="s">
        <v>9791</v>
      </c>
      <c r="C1693" s="7">
        <v>1308</v>
      </c>
      <c r="D1693" s="8" t="s">
        <v>9792</v>
      </c>
      <c r="E1693" s="8" t="s">
        <v>9793</v>
      </c>
      <c r="F1693" s="8" t="s">
        <v>9794</v>
      </c>
      <c r="G1693" s="6" t="s">
        <v>38</v>
      </c>
      <c r="H1693" s="6" t="s">
        <v>39</v>
      </c>
      <c r="I1693" s="8" t="s">
        <v>164</v>
      </c>
      <c r="J1693" s="9">
        <v>1</v>
      </c>
      <c r="K1693" s="9">
        <v>228</v>
      </c>
      <c r="L1693" s="9">
        <v>2024</v>
      </c>
      <c r="M1693" s="8" t="s">
        <v>9795</v>
      </c>
      <c r="N1693" s="8" t="s">
        <v>42</v>
      </c>
      <c r="O1693" s="8" t="s">
        <v>189</v>
      </c>
      <c r="P1693" s="6" t="s">
        <v>44</v>
      </c>
      <c r="Q1693" s="8" t="s">
        <v>45</v>
      </c>
      <c r="R1693" s="10" t="s">
        <v>9796</v>
      </c>
      <c r="S1693" s="11"/>
      <c r="T1693" s="6"/>
      <c r="U1693" s="24" t="str">
        <f>HYPERLINK("https://media.infra-m.ru/2030/2030736/cover/2030736.jpg", "Обложка")</f>
        <v>Обложка</v>
      </c>
      <c r="V1693" s="24" t="str">
        <f>HYPERLINK("https://znanium.ru/catalog/product/2030736", "Ознакомиться")</f>
        <v>Ознакомиться</v>
      </c>
      <c r="W1693" s="8" t="s">
        <v>167</v>
      </c>
      <c r="X1693" s="6"/>
      <c r="Y1693" s="6"/>
      <c r="Z1693" s="6"/>
      <c r="AA1693" s="6" t="s">
        <v>58</v>
      </c>
      <c r="AB1693" s="8"/>
    </row>
    <row r="1694" spans="1:28" s="4" customFormat="1" ht="51.95" customHeight="1">
      <c r="A1694" s="5">
        <v>0</v>
      </c>
      <c r="B1694" s="6" t="s">
        <v>9797</v>
      </c>
      <c r="C1694" s="13">
        <v>460.8</v>
      </c>
      <c r="D1694" s="8" t="s">
        <v>9798</v>
      </c>
      <c r="E1694" s="8" t="s">
        <v>9799</v>
      </c>
      <c r="F1694" s="8" t="s">
        <v>9800</v>
      </c>
      <c r="G1694" s="6" t="s">
        <v>38</v>
      </c>
      <c r="H1694" s="6" t="s">
        <v>39</v>
      </c>
      <c r="I1694" s="8" t="s">
        <v>40</v>
      </c>
      <c r="J1694" s="9">
        <v>1</v>
      </c>
      <c r="K1694" s="9">
        <v>83</v>
      </c>
      <c r="L1694" s="9">
        <v>2024</v>
      </c>
      <c r="M1694" s="8" t="s">
        <v>9801</v>
      </c>
      <c r="N1694" s="8" t="s">
        <v>42</v>
      </c>
      <c r="O1694" s="8" t="s">
        <v>101</v>
      </c>
      <c r="P1694" s="6" t="s">
        <v>580</v>
      </c>
      <c r="Q1694" s="8" t="s">
        <v>45</v>
      </c>
      <c r="R1694" s="10" t="s">
        <v>680</v>
      </c>
      <c r="S1694" s="11"/>
      <c r="T1694" s="6"/>
      <c r="U1694" s="24" t="str">
        <f>HYPERLINK("https://media.infra-m.ru/2102/2102694/cover/2102694.jpg", "Обложка")</f>
        <v>Обложка</v>
      </c>
      <c r="V1694" s="24" t="str">
        <f>HYPERLINK("https://znanium.ru/catalog/product/907623", "Ознакомиться")</f>
        <v>Ознакомиться</v>
      </c>
      <c r="W1694" s="8" t="s">
        <v>601</v>
      </c>
      <c r="X1694" s="6"/>
      <c r="Y1694" s="6"/>
      <c r="Z1694" s="6"/>
      <c r="AA1694" s="6" t="s">
        <v>377</v>
      </c>
      <c r="AB1694" s="8"/>
    </row>
    <row r="1695" spans="1:28" s="4" customFormat="1" ht="44.1" customHeight="1">
      <c r="A1695" s="5">
        <v>0</v>
      </c>
      <c r="B1695" s="6" t="s">
        <v>9802</v>
      </c>
      <c r="C1695" s="7">
        <v>1020</v>
      </c>
      <c r="D1695" s="8" t="s">
        <v>9803</v>
      </c>
      <c r="E1695" s="8" t="s">
        <v>9804</v>
      </c>
      <c r="F1695" s="8" t="s">
        <v>4515</v>
      </c>
      <c r="G1695" s="6" t="s">
        <v>81</v>
      </c>
      <c r="H1695" s="6" t="s">
        <v>39</v>
      </c>
      <c r="I1695" s="8" t="s">
        <v>336</v>
      </c>
      <c r="J1695" s="9">
        <v>1</v>
      </c>
      <c r="K1695" s="9">
        <v>176</v>
      </c>
      <c r="L1695" s="9">
        <v>2023</v>
      </c>
      <c r="M1695" s="8" t="s">
        <v>9805</v>
      </c>
      <c r="N1695" s="8" t="s">
        <v>42</v>
      </c>
      <c r="O1695" s="8" t="s">
        <v>101</v>
      </c>
      <c r="P1695" s="6" t="s">
        <v>415</v>
      </c>
      <c r="Q1695" s="8" t="s">
        <v>1152</v>
      </c>
      <c r="R1695" s="10" t="s">
        <v>874</v>
      </c>
      <c r="S1695" s="11"/>
      <c r="T1695" s="6"/>
      <c r="U1695" s="24" t="str">
        <f>HYPERLINK("https://media.infra-m.ru/1905/1905876/cover/1905876.jpg", "Обложка")</f>
        <v>Обложка</v>
      </c>
      <c r="V1695" s="24" t="str">
        <f>HYPERLINK("https://znanium.ru/catalog/product/1905876", "Ознакомиться")</f>
        <v>Ознакомиться</v>
      </c>
      <c r="W1695" s="8" t="s">
        <v>305</v>
      </c>
      <c r="X1695" s="6"/>
      <c r="Y1695" s="6"/>
      <c r="Z1695" s="6"/>
      <c r="AA1695" s="6" t="s">
        <v>377</v>
      </c>
      <c r="AB1695" s="8"/>
    </row>
    <row r="1696" spans="1:28" s="4" customFormat="1" ht="42" customHeight="1">
      <c r="A1696" s="5">
        <v>0</v>
      </c>
      <c r="B1696" s="6" t="s">
        <v>9806</v>
      </c>
      <c r="C1696" s="13">
        <v>840</v>
      </c>
      <c r="D1696" s="8" t="s">
        <v>9807</v>
      </c>
      <c r="E1696" s="8" t="s">
        <v>9808</v>
      </c>
      <c r="F1696" s="8" t="s">
        <v>9809</v>
      </c>
      <c r="G1696" s="6" t="s">
        <v>38</v>
      </c>
      <c r="H1696" s="6" t="s">
        <v>39</v>
      </c>
      <c r="I1696" s="8" t="s">
        <v>40</v>
      </c>
      <c r="J1696" s="9">
        <v>1</v>
      </c>
      <c r="K1696" s="9">
        <v>151</v>
      </c>
      <c r="L1696" s="9">
        <v>2024</v>
      </c>
      <c r="M1696" s="8" t="s">
        <v>9810</v>
      </c>
      <c r="N1696" s="8" t="s">
        <v>220</v>
      </c>
      <c r="O1696" s="8" t="s">
        <v>296</v>
      </c>
      <c r="P1696" s="6" t="s">
        <v>44</v>
      </c>
      <c r="Q1696" s="8" t="s">
        <v>45</v>
      </c>
      <c r="R1696" s="10" t="s">
        <v>2220</v>
      </c>
      <c r="S1696" s="11"/>
      <c r="T1696" s="6"/>
      <c r="U1696" s="24" t="str">
        <f>HYPERLINK("https://media.infra-m.ru/2104/2104850/cover/2104850.jpg", "Обложка")</f>
        <v>Обложка</v>
      </c>
      <c r="V1696" s="24" t="str">
        <f>HYPERLINK("https://znanium.ru/catalog/product/2104850", "Ознакомиться")</f>
        <v>Ознакомиться</v>
      </c>
      <c r="W1696" s="8" t="s">
        <v>9811</v>
      </c>
      <c r="X1696" s="6"/>
      <c r="Y1696" s="6"/>
      <c r="Z1696" s="6"/>
      <c r="AA1696" s="6" t="s">
        <v>68</v>
      </c>
      <c r="AB1696" s="8"/>
    </row>
    <row r="1697" spans="1:28" s="4" customFormat="1" ht="51.95" customHeight="1">
      <c r="A1697" s="5">
        <v>0</v>
      </c>
      <c r="B1697" s="6" t="s">
        <v>9812</v>
      </c>
      <c r="C1697" s="7">
        <v>1236</v>
      </c>
      <c r="D1697" s="8" t="s">
        <v>9813</v>
      </c>
      <c r="E1697" s="8" t="s">
        <v>9814</v>
      </c>
      <c r="F1697" s="8" t="s">
        <v>8757</v>
      </c>
      <c r="G1697" s="6" t="s">
        <v>38</v>
      </c>
      <c r="H1697" s="6" t="s">
        <v>39</v>
      </c>
      <c r="I1697" s="8" t="s">
        <v>40</v>
      </c>
      <c r="J1697" s="9">
        <v>1</v>
      </c>
      <c r="K1697" s="9">
        <v>181</v>
      </c>
      <c r="L1697" s="9">
        <v>2025</v>
      </c>
      <c r="M1697" s="8" t="s">
        <v>9815</v>
      </c>
      <c r="N1697" s="8" t="s">
        <v>42</v>
      </c>
      <c r="O1697" s="8" t="s">
        <v>189</v>
      </c>
      <c r="P1697" s="6" t="s">
        <v>44</v>
      </c>
      <c r="Q1697" s="8" t="s">
        <v>45</v>
      </c>
      <c r="R1697" s="10" t="s">
        <v>1187</v>
      </c>
      <c r="S1697" s="11"/>
      <c r="T1697" s="6"/>
      <c r="U1697" s="24" t="str">
        <f>HYPERLINK("https://media.infra-m.ru/2148/2148762/cover/2148762.jpg", "Обложка")</f>
        <v>Обложка</v>
      </c>
      <c r="V1697" s="24" t="str">
        <f>HYPERLINK("https://znanium.ru/catalog/product/2148762", "Ознакомиться")</f>
        <v>Ознакомиться</v>
      </c>
      <c r="W1697" s="8" t="s">
        <v>4953</v>
      </c>
      <c r="X1697" s="6" t="s">
        <v>1188</v>
      </c>
      <c r="Y1697" s="6"/>
      <c r="Z1697" s="6"/>
      <c r="AA1697" s="6" t="s">
        <v>159</v>
      </c>
      <c r="AB1697" s="8"/>
    </row>
    <row r="1698" spans="1:28" s="4" customFormat="1" ht="51.95" customHeight="1">
      <c r="A1698" s="5">
        <v>0</v>
      </c>
      <c r="B1698" s="6" t="s">
        <v>9816</v>
      </c>
      <c r="C1698" s="7">
        <v>2340</v>
      </c>
      <c r="D1698" s="8" t="s">
        <v>9817</v>
      </c>
      <c r="E1698" s="8" t="s">
        <v>9818</v>
      </c>
      <c r="F1698" s="8" t="s">
        <v>9819</v>
      </c>
      <c r="G1698" s="6" t="s">
        <v>132</v>
      </c>
      <c r="H1698" s="6" t="s">
        <v>99</v>
      </c>
      <c r="I1698" s="8"/>
      <c r="J1698" s="9">
        <v>1</v>
      </c>
      <c r="K1698" s="9">
        <v>416</v>
      </c>
      <c r="L1698" s="9">
        <v>2024</v>
      </c>
      <c r="M1698" s="8" t="s">
        <v>9820</v>
      </c>
      <c r="N1698" s="8" t="s">
        <v>42</v>
      </c>
      <c r="O1698" s="8" t="s">
        <v>101</v>
      </c>
      <c r="P1698" s="6" t="s">
        <v>44</v>
      </c>
      <c r="Q1698" s="8" t="s">
        <v>45</v>
      </c>
      <c r="R1698" s="10" t="s">
        <v>9821</v>
      </c>
      <c r="S1698" s="11"/>
      <c r="T1698" s="6"/>
      <c r="U1698" s="24" t="str">
        <f>HYPERLINK("https://media.infra-m.ru/2090/2090017/cover/2090017.jpg", "Обложка")</f>
        <v>Обложка</v>
      </c>
      <c r="V1698" s="24" t="str">
        <f>HYPERLINK("https://znanium.ru/catalog/product/2090017", "Ознакомиться")</f>
        <v>Ознакомиться</v>
      </c>
      <c r="W1698" s="8" t="s">
        <v>103</v>
      </c>
      <c r="X1698" s="6"/>
      <c r="Y1698" s="6"/>
      <c r="Z1698" s="6"/>
      <c r="AA1698" s="6" t="s">
        <v>58</v>
      </c>
      <c r="AB1698" s="8"/>
    </row>
    <row r="1699" spans="1:28" s="4" customFormat="1" ht="42" customHeight="1">
      <c r="A1699" s="5">
        <v>0</v>
      </c>
      <c r="B1699" s="6" t="s">
        <v>9822</v>
      </c>
      <c r="C1699" s="7">
        <v>2212.8000000000002</v>
      </c>
      <c r="D1699" s="8" t="s">
        <v>9823</v>
      </c>
      <c r="E1699" s="8" t="s">
        <v>9824</v>
      </c>
      <c r="F1699" s="8" t="s">
        <v>9825</v>
      </c>
      <c r="G1699" s="6" t="s">
        <v>132</v>
      </c>
      <c r="H1699" s="6" t="s">
        <v>99</v>
      </c>
      <c r="I1699" s="8"/>
      <c r="J1699" s="9">
        <v>1</v>
      </c>
      <c r="K1699" s="9">
        <v>336</v>
      </c>
      <c r="L1699" s="9">
        <v>2026</v>
      </c>
      <c r="M1699" s="8" t="s">
        <v>9826</v>
      </c>
      <c r="N1699" s="8" t="s">
        <v>42</v>
      </c>
      <c r="O1699" s="8" t="s">
        <v>101</v>
      </c>
      <c r="P1699" s="6" t="s">
        <v>44</v>
      </c>
      <c r="Q1699" s="8" t="s">
        <v>45</v>
      </c>
      <c r="R1699" s="10" t="s">
        <v>1765</v>
      </c>
      <c r="S1699" s="11"/>
      <c r="T1699" s="6"/>
      <c r="U1699" s="24" t="str">
        <f>HYPERLINK("https://media.infra-m.ru/2221/2221650/cover/2221650.jpg", "Обложка")</f>
        <v>Обложка</v>
      </c>
      <c r="V1699" s="24" t="str">
        <f>HYPERLINK("https://znanium.ru/catalog/product/1839362", "Ознакомиться")</f>
        <v>Ознакомиться</v>
      </c>
      <c r="W1699" s="8" t="s">
        <v>4153</v>
      </c>
      <c r="X1699" s="6"/>
      <c r="Y1699" s="6"/>
      <c r="Z1699" s="6"/>
      <c r="AA1699" s="6" t="s">
        <v>68</v>
      </c>
      <c r="AB1699" s="8"/>
    </row>
    <row r="1700" spans="1:28" s="4" customFormat="1" ht="51.95" customHeight="1">
      <c r="A1700" s="5">
        <v>0</v>
      </c>
      <c r="B1700" s="6" t="s">
        <v>9827</v>
      </c>
      <c r="C1700" s="7">
        <v>1104</v>
      </c>
      <c r="D1700" s="8" t="s">
        <v>9828</v>
      </c>
      <c r="E1700" s="8" t="s">
        <v>9829</v>
      </c>
      <c r="F1700" s="8" t="s">
        <v>9830</v>
      </c>
      <c r="G1700" s="6" t="s">
        <v>38</v>
      </c>
      <c r="H1700" s="6" t="s">
        <v>39</v>
      </c>
      <c r="I1700" s="8" t="s">
        <v>40</v>
      </c>
      <c r="J1700" s="9">
        <v>1</v>
      </c>
      <c r="K1700" s="9">
        <v>175</v>
      </c>
      <c r="L1700" s="9">
        <v>2025</v>
      </c>
      <c r="M1700" s="8" t="s">
        <v>9831</v>
      </c>
      <c r="N1700" s="8" t="s">
        <v>42</v>
      </c>
      <c r="O1700" s="8" t="s">
        <v>189</v>
      </c>
      <c r="P1700" s="6" t="s">
        <v>44</v>
      </c>
      <c r="Q1700" s="8" t="s">
        <v>45</v>
      </c>
      <c r="R1700" s="10" t="s">
        <v>731</v>
      </c>
      <c r="S1700" s="11"/>
      <c r="T1700" s="6"/>
      <c r="U1700" s="24" t="str">
        <f>HYPERLINK("https://media.infra-m.ru/2208/2208451/cover/2208451.jpg", "Обложка")</f>
        <v>Обложка</v>
      </c>
      <c r="V1700" s="24" t="str">
        <f>HYPERLINK("https://znanium.ru/catalog/product/2208451", "Ознакомиться")</f>
        <v>Ознакомиться</v>
      </c>
      <c r="W1700" s="8" t="s">
        <v>7034</v>
      </c>
      <c r="X1700" s="6"/>
      <c r="Y1700" s="6"/>
      <c r="Z1700" s="6"/>
      <c r="AA1700" s="6" t="s">
        <v>68</v>
      </c>
      <c r="AB1700" s="8"/>
    </row>
    <row r="1701" spans="1:28" s="4" customFormat="1" ht="42" customHeight="1">
      <c r="A1701" s="5">
        <v>0</v>
      </c>
      <c r="B1701" s="6" t="s">
        <v>9832</v>
      </c>
      <c r="C1701" s="7">
        <v>1020</v>
      </c>
      <c r="D1701" s="8" t="s">
        <v>9833</v>
      </c>
      <c r="E1701" s="8" t="s">
        <v>9834</v>
      </c>
      <c r="F1701" s="8" t="s">
        <v>9835</v>
      </c>
      <c r="G1701" s="6" t="s">
        <v>81</v>
      </c>
      <c r="H1701" s="6" t="s">
        <v>39</v>
      </c>
      <c r="I1701" s="8" t="s">
        <v>40</v>
      </c>
      <c r="J1701" s="9">
        <v>1</v>
      </c>
      <c r="K1701" s="9">
        <v>202</v>
      </c>
      <c r="L1701" s="9">
        <v>2022</v>
      </c>
      <c r="M1701" s="8" t="s">
        <v>9836</v>
      </c>
      <c r="N1701" s="8" t="s">
        <v>284</v>
      </c>
      <c r="O1701" s="8" t="s">
        <v>312</v>
      </c>
      <c r="P1701" s="6" t="s">
        <v>44</v>
      </c>
      <c r="Q1701" s="8" t="s">
        <v>45</v>
      </c>
      <c r="R1701" s="10" t="s">
        <v>6886</v>
      </c>
      <c r="S1701" s="11"/>
      <c r="T1701" s="6"/>
      <c r="U1701" s="24" t="str">
        <f>HYPERLINK("https://media.infra-m.ru/1836/1836396/cover/1836396.jpg", "Обложка")</f>
        <v>Обложка</v>
      </c>
      <c r="V1701" s="24" t="str">
        <f>HYPERLINK("https://znanium.ru/catalog/product/1836396", "Ознакомиться")</f>
        <v>Ознакомиться</v>
      </c>
      <c r="W1701" s="8" t="s">
        <v>516</v>
      </c>
      <c r="X1701" s="6"/>
      <c r="Y1701" s="6"/>
      <c r="Z1701" s="6"/>
      <c r="AA1701" s="6" t="s">
        <v>199</v>
      </c>
      <c r="AB1701" s="8"/>
    </row>
    <row r="1702" spans="1:28" s="4" customFormat="1" ht="42" customHeight="1">
      <c r="A1702" s="5">
        <v>0</v>
      </c>
      <c r="B1702" s="6" t="s">
        <v>9837</v>
      </c>
      <c r="C1702" s="7">
        <v>1612.8</v>
      </c>
      <c r="D1702" s="8" t="s">
        <v>9838</v>
      </c>
      <c r="E1702" s="8" t="s">
        <v>9839</v>
      </c>
      <c r="F1702" s="8" t="s">
        <v>2318</v>
      </c>
      <c r="G1702" s="6" t="s">
        <v>38</v>
      </c>
      <c r="H1702" s="6" t="s">
        <v>39</v>
      </c>
      <c r="I1702" s="8" t="s">
        <v>40</v>
      </c>
      <c r="J1702" s="9">
        <v>1</v>
      </c>
      <c r="K1702" s="9">
        <v>269</v>
      </c>
      <c r="L1702" s="9">
        <v>2025</v>
      </c>
      <c r="M1702" s="8" t="s">
        <v>9840</v>
      </c>
      <c r="N1702" s="8" t="s">
        <v>42</v>
      </c>
      <c r="O1702" s="8" t="s">
        <v>189</v>
      </c>
      <c r="P1702" s="6" t="s">
        <v>44</v>
      </c>
      <c r="Q1702" s="8" t="s">
        <v>45</v>
      </c>
      <c r="R1702" s="10" t="s">
        <v>1419</v>
      </c>
      <c r="S1702" s="11"/>
      <c r="T1702" s="6"/>
      <c r="U1702" s="24" t="str">
        <f>HYPERLINK("https://media.infra-m.ru/2161/2161514/cover/2161514.jpg", "Обложка")</f>
        <v>Обложка</v>
      </c>
      <c r="V1702" s="24" t="str">
        <f>HYPERLINK("https://znanium.ru/catalog/product/1182771", "Ознакомиться")</f>
        <v>Ознакомиться</v>
      </c>
      <c r="W1702" s="8" t="s">
        <v>2320</v>
      </c>
      <c r="X1702" s="6"/>
      <c r="Y1702" s="6"/>
      <c r="Z1702" s="6"/>
      <c r="AA1702" s="6" t="s">
        <v>199</v>
      </c>
      <c r="AB1702" s="8"/>
    </row>
    <row r="1703" spans="1:28" s="4" customFormat="1" ht="51.95" customHeight="1">
      <c r="A1703" s="5">
        <v>0</v>
      </c>
      <c r="B1703" s="6" t="s">
        <v>9841</v>
      </c>
      <c r="C1703" s="7">
        <v>1132.8</v>
      </c>
      <c r="D1703" s="8" t="s">
        <v>9842</v>
      </c>
      <c r="E1703" s="8" t="s">
        <v>9843</v>
      </c>
      <c r="F1703" s="8" t="s">
        <v>9844</v>
      </c>
      <c r="G1703" s="6" t="s">
        <v>38</v>
      </c>
      <c r="H1703" s="6" t="s">
        <v>182</v>
      </c>
      <c r="I1703" s="8" t="s">
        <v>40</v>
      </c>
      <c r="J1703" s="9">
        <v>1</v>
      </c>
      <c r="K1703" s="9">
        <v>244</v>
      </c>
      <c r="L1703" s="9">
        <v>2020</v>
      </c>
      <c r="M1703" s="8" t="s">
        <v>9845</v>
      </c>
      <c r="N1703" s="8" t="s">
        <v>42</v>
      </c>
      <c r="O1703" s="8" t="s">
        <v>1035</v>
      </c>
      <c r="P1703" s="6" t="s">
        <v>44</v>
      </c>
      <c r="Q1703" s="8" t="s">
        <v>45</v>
      </c>
      <c r="R1703" s="10" t="s">
        <v>9846</v>
      </c>
      <c r="S1703" s="11"/>
      <c r="T1703" s="6"/>
      <c r="U1703" s="24" t="str">
        <f>HYPERLINK("https://media.infra-m.ru/2117/2117162/cover/2117162.jpg", "Обложка")</f>
        <v>Обложка</v>
      </c>
      <c r="V1703" s="24" t="str">
        <f>HYPERLINK("https://znanium.ru/catalog/product/1015160", "Ознакомиться")</f>
        <v>Ознакомиться</v>
      </c>
      <c r="W1703" s="8" t="s">
        <v>1601</v>
      </c>
      <c r="X1703" s="6"/>
      <c r="Y1703" s="6"/>
      <c r="Z1703" s="6"/>
      <c r="AA1703" s="6" t="s">
        <v>377</v>
      </c>
      <c r="AB1703" s="8"/>
    </row>
    <row r="1704" spans="1:28" s="4" customFormat="1" ht="42" customHeight="1">
      <c r="A1704" s="5">
        <v>0</v>
      </c>
      <c r="B1704" s="6" t="s">
        <v>9847</v>
      </c>
      <c r="C1704" s="13">
        <v>803.9</v>
      </c>
      <c r="D1704" s="8" t="s">
        <v>9848</v>
      </c>
      <c r="E1704" s="8" t="s">
        <v>9849</v>
      </c>
      <c r="F1704" s="8" t="s">
        <v>9850</v>
      </c>
      <c r="G1704" s="6" t="s">
        <v>132</v>
      </c>
      <c r="H1704" s="6" t="s">
        <v>99</v>
      </c>
      <c r="I1704" s="8"/>
      <c r="J1704" s="9">
        <v>1</v>
      </c>
      <c r="K1704" s="9">
        <v>168</v>
      </c>
      <c r="L1704" s="9">
        <v>2022</v>
      </c>
      <c r="M1704" s="8" t="s">
        <v>9851</v>
      </c>
      <c r="N1704" s="8" t="s">
        <v>42</v>
      </c>
      <c r="O1704" s="8" t="s">
        <v>101</v>
      </c>
      <c r="P1704" s="6" t="s">
        <v>44</v>
      </c>
      <c r="Q1704" s="8" t="s">
        <v>45</v>
      </c>
      <c r="R1704" s="10" t="s">
        <v>632</v>
      </c>
      <c r="S1704" s="11"/>
      <c r="T1704" s="6"/>
      <c r="U1704" s="24" t="str">
        <f>HYPERLINK("https://media.infra-m.ru/1836/1836962/cover/1836962.jpg", "Обложка")</f>
        <v>Обложка</v>
      </c>
      <c r="V1704" s="24" t="str">
        <f>HYPERLINK("https://znanium.ru/catalog/product/1836962", "Ознакомиться")</f>
        <v>Ознакомиться</v>
      </c>
      <c r="W1704" s="8" t="s">
        <v>418</v>
      </c>
      <c r="X1704" s="6"/>
      <c r="Y1704" s="6"/>
      <c r="Z1704" s="6"/>
      <c r="AA1704" s="6" t="s">
        <v>111</v>
      </c>
      <c r="AB1704" s="8"/>
    </row>
    <row r="1705" spans="1:28" s="4" customFormat="1" ht="42" customHeight="1">
      <c r="A1705" s="5">
        <v>0</v>
      </c>
      <c r="B1705" s="6" t="s">
        <v>9852</v>
      </c>
      <c r="C1705" s="7">
        <v>1188</v>
      </c>
      <c r="D1705" s="8" t="s">
        <v>9853</v>
      </c>
      <c r="E1705" s="8" t="s">
        <v>9854</v>
      </c>
      <c r="F1705" s="8" t="s">
        <v>9855</v>
      </c>
      <c r="G1705" s="6" t="s">
        <v>132</v>
      </c>
      <c r="H1705" s="6" t="s">
        <v>39</v>
      </c>
      <c r="I1705" s="8" t="s">
        <v>40</v>
      </c>
      <c r="J1705" s="9">
        <v>1</v>
      </c>
      <c r="K1705" s="9">
        <v>192</v>
      </c>
      <c r="L1705" s="9">
        <v>2024</v>
      </c>
      <c r="M1705" s="8" t="s">
        <v>9856</v>
      </c>
      <c r="N1705" s="8" t="s">
        <v>42</v>
      </c>
      <c r="O1705" s="8" t="s">
        <v>101</v>
      </c>
      <c r="P1705" s="6" t="s">
        <v>44</v>
      </c>
      <c r="Q1705" s="8" t="s">
        <v>45</v>
      </c>
      <c r="R1705" s="10" t="s">
        <v>9376</v>
      </c>
      <c r="S1705" s="11"/>
      <c r="T1705" s="6"/>
      <c r="U1705" s="24" t="str">
        <f>HYPERLINK("https://media.infra-m.ru/2056/2056731/cover/2056731.jpg", "Обложка")</f>
        <v>Обложка</v>
      </c>
      <c r="V1705" s="24" t="str">
        <f>HYPERLINK("https://znanium.ru/catalog/product/2056731", "Ознакомиться")</f>
        <v>Ознакомиться</v>
      </c>
      <c r="W1705" s="8" t="s">
        <v>223</v>
      </c>
      <c r="X1705" s="6"/>
      <c r="Y1705" s="6"/>
      <c r="Z1705" s="6"/>
      <c r="AA1705" s="6" t="s">
        <v>58</v>
      </c>
      <c r="AB1705" s="8"/>
    </row>
    <row r="1706" spans="1:28" s="4" customFormat="1" ht="42" customHeight="1">
      <c r="A1706" s="5">
        <v>0</v>
      </c>
      <c r="B1706" s="6" t="s">
        <v>9857</v>
      </c>
      <c r="C1706" s="13">
        <v>701.9</v>
      </c>
      <c r="D1706" s="8" t="s">
        <v>9858</v>
      </c>
      <c r="E1706" s="8" t="s">
        <v>9859</v>
      </c>
      <c r="F1706" s="8" t="s">
        <v>1116</v>
      </c>
      <c r="G1706" s="6" t="s">
        <v>38</v>
      </c>
      <c r="H1706" s="6" t="s">
        <v>39</v>
      </c>
      <c r="I1706" s="8" t="s">
        <v>40</v>
      </c>
      <c r="J1706" s="9">
        <v>1</v>
      </c>
      <c r="K1706" s="9">
        <v>171</v>
      </c>
      <c r="L1706" s="9">
        <v>2019</v>
      </c>
      <c r="M1706" s="8" t="s">
        <v>9860</v>
      </c>
      <c r="N1706" s="8" t="s">
        <v>284</v>
      </c>
      <c r="O1706" s="8" t="s">
        <v>285</v>
      </c>
      <c r="P1706" s="6" t="s">
        <v>44</v>
      </c>
      <c r="Q1706" s="8" t="s">
        <v>45</v>
      </c>
      <c r="R1706" s="10" t="s">
        <v>1118</v>
      </c>
      <c r="S1706" s="11"/>
      <c r="T1706" s="6"/>
      <c r="U1706" s="24" t="str">
        <f>HYPERLINK("https://media.infra-m.ru/0792/0792757/cover/792757.jpg", "Обложка")</f>
        <v>Обложка</v>
      </c>
      <c r="V1706" s="24" t="str">
        <f>HYPERLINK("https://znanium.ru/catalog/product/2083787", "Ознакомиться")</f>
        <v>Ознакомиться</v>
      </c>
      <c r="W1706" s="8" t="s">
        <v>1119</v>
      </c>
      <c r="X1706" s="6"/>
      <c r="Y1706" s="6"/>
      <c r="Z1706" s="6"/>
      <c r="AA1706" s="6" t="s">
        <v>377</v>
      </c>
      <c r="AB1706" s="8"/>
    </row>
    <row r="1707" spans="1:28" s="4" customFormat="1" ht="51.95" customHeight="1">
      <c r="A1707" s="5">
        <v>0</v>
      </c>
      <c r="B1707" s="6" t="s">
        <v>9861</v>
      </c>
      <c r="C1707" s="7">
        <v>1104</v>
      </c>
      <c r="D1707" s="8" t="s">
        <v>9862</v>
      </c>
      <c r="E1707" s="8" t="s">
        <v>9863</v>
      </c>
      <c r="F1707" s="8" t="s">
        <v>9864</v>
      </c>
      <c r="G1707" s="6" t="s">
        <v>38</v>
      </c>
      <c r="H1707" s="6" t="s">
        <v>39</v>
      </c>
      <c r="I1707" s="8" t="s">
        <v>40</v>
      </c>
      <c r="J1707" s="9">
        <v>1</v>
      </c>
      <c r="K1707" s="9">
        <v>199</v>
      </c>
      <c r="L1707" s="9">
        <v>2023</v>
      </c>
      <c r="M1707" s="8" t="s">
        <v>9865</v>
      </c>
      <c r="N1707" s="8" t="s">
        <v>284</v>
      </c>
      <c r="O1707" s="8" t="s">
        <v>717</v>
      </c>
      <c r="P1707" s="6" t="s">
        <v>44</v>
      </c>
      <c r="Q1707" s="8" t="s">
        <v>45</v>
      </c>
      <c r="R1707" s="10" t="s">
        <v>9866</v>
      </c>
      <c r="S1707" s="11"/>
      <c r="T1707" s="6"/>
      <c r="U1707" s="24" t="str">
        <f>HYPERLINK("https://media.infra-m.ru/2126/2126821/cover/2126821.jpg", "Обложка")</f>
        <v>Обложка</v>
      </c>
      <c r="V1707" s="24" t="str">
        <f>HYPERLINK("https://znanium.ru/catalog/product/2126821", "Ознакомиться")</f>
        <v>Ознакомиться</v>
      </c>
      <c r="W1707" s="8" t="s">
        <v>5547</v>
      </c>
      <c r="X1707" s="6"/>
      <c r="Y1707" s="6"/>
      <c r="Z1707" s="6"/>
      <c r="AA1707" s="6" t="s">
        <v>111</v>
      </c>
      <c r="AB1707" s="8"/>
    </row>
    <row r="1708" spans="1:28" s="4" customFormat="1" ht="42" customHeight="1">
      <c r="A1708" s="5">
        <v>0</v>
      </c>
      <c r="B1708" s="6" t="s">
        <v>9867</v>
      </c>
      <c r="C1708" s="7">
        <v>1164</v>
      </c>
      <c r="D1708" s="8" t="s">
        <v>9868</v>
      </c>
      <c r="E1708" s="8" t="s">
        <v>9869</v>
      </c>
      <c r="F1708" s="8" t="s">
        <v>9870</v>
      </c>
      <c r="G1708" s="6" t="s">
        <v>38</v>
      </c>
      <c r="H1708" s="6" t="s">
        <v>39</v>
      </c>
      <c r="I1708" s="8" t="s">
        <v>40</v>
      </c>
      <c r="J1708" s="9">
        <v>1</v>
      </c>
      <c r="K1708" s="9">
        <v>211</v>
      </c>
      <c r="L1708" s="9">
        <v>2024</v>
      </c>
      <c r="M1708" s="8" t="s">
        <v>9871</v>
      </c>
      <c r="N1708" s="8" t="s">
        <v>284</v>
      </c>
      <c r="O1708" s="8" t="s">
        <v>2265</v>
      </c>
      <c r="P1708" s="6" t="s">
        <v>44</v>
      </c>
      <c r="Q1708" s="8" t="s">
        <v>45</v>
      </c>
      <c r="R1708" s="10" t="s">
        <v>6565</v>
      </c>
      <c r="S1708" s="11"/>
      <c r="T1708" s="6"/>
      <c r="U1708" s="24" t="str">
        <f>HYPERLINK("https://media.infra-m.ru/2105/2105792/cover/2105792.jpg", "Обложка")</f>
        <v>Обложка</v>
      </c>
      <c r="V1708" s="24" t="str">
        <f>HYPERLINK("https://znanium.ru/catalog/product/2105792", "Ознакомиться")</f>
        <v>Ознакомиться</v>
      </c>
      <c r="W1708" s="8" t="s">
        <v>2991</v>
      </c>
      <c r="X1708" s="6"/>
      <c r="Y1708" s="6"/>
      <c r="Z1708" s="6"/>
      <c r="AA1708" s="6" t="s">
        <v>76</v>
      </c>
      <c r="AB1708" s="8"/>
    </row>
    <row r="1709" spans="1:28" s="4" customFormat="1" ht="51.95" customHeight="1">
      <c r="A1709" s="5">
        <v>0</v>
      </c>
      <c r="B1709" s="6" t="s">
        <v>9872</v>
      </c>
      <c r="C1709" s="13">
        <v>688.8</v>
      </c>
      <c r="D1709" s="8" t="s">
        <v>9873</v>
      </c>
      <c r="E1709" s="8" t="s">
        <v>9874</v>
      </c>
      <c r="F1709" s="8" t="s">
        <v>9875</v>
      </c>
      <c r="G1709" s="6" t="s">
        <v>38</v>
      </c>
      <c r="H1709" s="6" t="s">
        <v>1019</v>
      </c>
      <c r="I1709" s="8" t="s">
        <v>1020</v>
      </c>
      <c r="J1709" s="9">
        <v>1</v>
      </c>
      <c r="K1709" s="9">
        <v>126</v>
      </c>
      <c r="L1709" s="9">
        <v>2023</v>
      </c>
      <c r="M1709" s="8" t="s">
        <v>9876</v>
      </c>
      <c r="N1709" s="8" t="s">
        <v>42</v>
      </c>
      <c r="O1709" s="8" t="s">
        <v>189</v>
      </c>
      <c r="P1709" s="6" t="s">
        <v>44</v>
      </c>
      <c r="Q1709" s="8" t="s">
        <v>45</v>
      </c>
      <c r="R1709" s="10" t="s">
        <v>9877</v>
      </c>
      <c r="S1709" s="11"/>
      <c r="T1709" s="6"/>
      <c r="U1709" s="24" t="str">
        <f>HYPERLINK("https://media.infra-m.ru/2080/2080770/cover/2080770.jpg", "Обложка")</f>
        <v>Обложка</v>
      </c>
      <c r="V1709" s="24" t="str">
        <f>HYPERLINK("https://znanium.ru/catalog/product/1946470", "Ознакомиться")</f>
        <v>Ознакомиться</v>
      </c>
      <c r="W1709" s="8" t="s">
        <v>167</v>
      </c>
      <c r="X1709" s="6"/>
      <c r="Y1709" s="6"/>
      <c r="Z1709" s="6"/>
      <c r="AA1709" s="6" t="s">
        <v>377</v>
      </c>
      <c r="AB1709" s="8"/>
    </row>
    <row r="1710" spans="1:28" s="4" customFormat="1" ht="51.95" customHeight="1">
      <c r="A1710" s="5">
        <v>0</v>
      </c>
      <c r="B1710" s="6" t="s">
        <v>9878</v>
      </c>
      <c r="C1710" s="13">
        <v>756</v>
      </c>
      <c r="D1710" s="8" t="s">
        <v>9879</v>
      </c>
      <c r="E1710" s="8" t="s">
        <v>9880</v>
      </c>
      <c r="F1710" s="8" t="s">
        <v>9881</v>
      </c>
      <c r="G1710" s="6" t="s">
        <v>38</v>
      </c>
      <c r="H1710" s="6" t="s">
        <v>182</v>
      </c>
      <c r="I1710" s="8" t="s">
        <v>40</v>
      </c>
      <c r="J1710" s="9">
        <v>1</v>
      </c>
      <c r="K1710" s="9">
        <v>136</v>
      </c>
      <c r="L1710" s="9">
        <v>2024</v>
      </c>
      <c r="M1710" s="8" t="s">
        <v>9882</v>
      </c>
      <c r="N1710" s="8" t="s">
        <v>284</v>
      </c>
      <c r="O1710" s="8" t="s">
        <v>383</v>
      </c>
      <c r="P1710" s="6" t="s">
        <v>44</v>
      </c>
      <c r="Q1710" s="8" t="s">
        <v>45</v>
      </c>
      <c r="R1710" s="10" t="s">
        <v>9883</v>
      </c>
      <c r="S1710" s="11"/>
      <c r="T1710" s="6"/>
      <c r="U1710" s="24" t="str">
        <f>HYPERLINK("https://media.infra-m.ru/2081/2081054/cover/2081054.jpg", "Обложка")</f>
        <v>Обложка</v>
      </c>
      <c r="V1710" s="24" t="str">
        <f>HYPERLINK("https://znanium.ru/catalog/product/404391", "Ознакомиться")</f>
        <v>Ознакомиться</v>
      </c>
      <c r="W1710" s="8" t="s">
        <v>3941</v>
      </c>
      <c r="X1710" s="6"/>
      <c r="Y1710" s="6"/>
      <c r="Z1710" s="6"/>
      <c r="AA1710" s="6" t="s">
        <v>127</v>
      </c>
      <c r="AB1710" s="8"/>
    </row>
    <row r="1711" spans="1:28" s="4" customFormat="1" ht="51.95" customHeight="1">
      <c r="A1711" s="5">
        <v>0</v>
      </c>
      <c r="B1711" s="6" t="s">
        <v>9884</v>
      </c>
      <c r="C1711" s="13">
        <v>972</v>
      </c>
      <c r="D1711" s="8" t="s">
        <v>9885</v>
      </c>
      <c r="E1711" s="8" t="s">
        <v>9886</v>
      </c>
      <c r="F1711" s="8" t="s">
        <v>9887</v>
      </c>
      <c r="G1711" s="6" t="s">
        <v>38</v>
      </c>
      <c r="H1711" s="6" t="s">
        <v>39</v>
      </c>
      <c r="I1711" s="8" t="s">
        <v>40</v>
      </c>
      <c r="J1711" s="9">
        <v>1</v>
      </c>
      <c r="K1711" s="9">
        <v>174</v>
      </c>
      <c r="L1711" s="9">
        <v>2024</v>
      </c>
      <c r="M1711" s="8" t="s">
        <v>9888</v>
      </c>
      <c r="N1711" s="8" t="s">
        <v>42</v>
      </c>
      <c r="O1711" s="8" t="s">
        <v>189</v>
      </c>
      <c r="P1711" s="6" t="s">
        <v>44</v>
      </c>
      <c r="Q1711" s="8" t="s">
        <v>45</v>
      </c>
      <c r="R1711" s="10" t="s">
        <v>9889</v>
      </c>
      <c r="S1711" s="11"/>
      <c r="T1711" s="6"/>
      <c r="U1711" s="24" t="str">
        <f>HYPERLINK("https://media.infra-m.ru/2117/2117120/cover/2117120.jpg", "Обложка")</f>
        <v>Обложка</v>
      </c>
      <c r="V1711" s="24" t="str">
        <f>HYPERLINK("https://znanium.ru/catalog/product/2117120", "Ознакомиться")</f>
        <v>Ознакомиться</v>
      </c>
      <c r="W1711" s="8" t="s">
        <v>314</v>
      </c>
      <c r="X1711" s="6"/>
      <c r="Y1711" s="6"/>
      <c r="Z1711" s="6"/>
      <c r="AA1711" s="6" t="s">
        <v>1154</v>
      </c>
      <c r="AB1711" s="8"/>
    </row>
    <row r="1712" spans="1:28" s="4" customFormat="1" ht="42" customHeight="1">
      <c r="A1712" s="5">
        <v>0</v>
      </c>
      <c r="B1712" s="6" t="s">
        <v>9890</v>
      </c>
      <c r="C1712" s="7">
        <v>1404</v>
      </c>
      <c r="D1712" s="8" t="s">
        <v>9891</v>
      </c>
      <c r="E1712" s="8" t="s">
        <v>9892</v>
      </c>
      <c r="F1712" s="8" t="s">
        <v>2231</v>
      </c>
      <c r="G1712" s="6" t="s">
        <v>38</v>
      </c>
      <c r="H1712" s="6" t="s">
        <v>39</v>
      </c>
      <c r="I1712" s="8" t="s">
        <v>752</v>
      </c>
      <c r="J1712" s="9">
        <v>1</v>
      </c>
      <c r="K1712" s="9">
        <v>219</v>
      </c>
      <c r="L1712" s="9">
        <v>2025</v>
      </c>
      <c r="M1712" s="8" t="s">
        <v>9893</v>
      </c>
      <c r="N1712" s="8" t="s">
        <v>42</v>
      </c>
      <c r="O1712" s="8" t="s">
        <v>189</v>
      </c>
      <c r="P1712" s="6" t="s">
        <v>44</v>
      </c>
      <c r="Q1712" s="8" t="s">
        <v>45</v>
      </c>
      <c r="R1712" s="10" t="s">
        <v>9894</v>
      </c>
      <c r="S1712" s="11"/>
      <c r="T1712" s="6"/>
      <c r="U1712" s="24" t="str">
        <f>HYPERLINK("https://media.infra-m.ru/2169/2169738/cover/2169738.jpg", "Обложка")</f>
        <v>Обложка</v>
      </c>
      <c r="V1712" s="24" t="str">
        <f>HYPERLINK("https://znanium.ru/catalog/product/2169738", "Ознакомиться")</f>
        <v>Ознакомиться</v>
      </c>
      <c r="W1712" s="8" t="s">
        <v>2234</v>
      </c>
      <c r="X1712" s="6" t="s">
        <v>1188</v>
      </c>
      <c r="Y1712" s="6"/>
      <c r="Z1712" s="6"/>
      <c r="AA1712" s="6" t="s">
        <v>159</v>
      </c>
      <c r="AB1712" s="8"/>
    </row>
    <row r="1713" spans="1:28" s="4" customFormat="1" ht="44.1" customHeight="1">
      <c r="A1713" s="5">
        <v>0</v>
      </c>
      <c r="B1713" s="6" t="s">
        <v>9895</v>
      </c>
      <c r="C1713" s="7">
        <v>1300.8</v>
      </c>
      <c r="D1713" s="8" t="s">
        <v>9896</v>
      </c>
      <c r="E1713" s="8" t="s">
        <v>9897</v>
      </c>
      <c r="F1713" s="8" t="s">
        <v>9898</v>
      </c>
      <c r="G1713" s="6" t="s">
        <v>81</v>
      </c>
      <c r="H1713" s="6" t="s">
        <v>39</v>
      </c>
      <c r="I1713" s="8" t="s">
        <v>40</v>
      </c>
      <c r="J1713" s="9">
        <v>1</v>
      </c>
      <c r="K1713" s="9">
        <v>235</v>
      </c>
      <c r="L1713" s="9">
        <v>2024</v>
      </c>
      <c r="M1713" s="8" t="s">
        <v>9899</v>
      </c>
      <c r="N1713" s="8" t="s">
        <v>42</v>
      </c>
      <c r="O1713" s="8" t="s">
        <v>246</v>
      </c>
      <c r="P1713" s="6" t="s">
        <v>44</v>
      </c>
      <c r="Q1713" s="8" t="s">
        <v>45</v>
      </c>
      <c r="R1713" s="10" t="s">
        <v>9900</v>
      </c>
      <c r="S1713" s="11"/>
      <c r="T1713" s="6"/>
      <c r="U1713" s="24" t="str">
        <f>HYPERLINK("https://media.infra-m.ru/2117/2117143/cover/2117143.jpg", "Обложка")</f>
        <v>Обложка</v>
      </c>
      <c r="V1713" s="24" t="str">
        <f>HYPERLINK("https://znanium.ru/catalog/product/2105348", "Ознакомиться")</f>
        <v>Ознакомиться</v>
      </c>
      <c r="W1713" s="8" t="s">
        <v>516</v>
      </c>
      <c r="X1713" s="6"/>
      <c r="Y1713" s="6"/>
      <c r="Z1713" s="6"/>
      <c r="AA1713" s="6" t="s">
        <v>369</v>
      </c>
      <c r="AB1713" s="8"/>
    </row>
    <row r="1714" spans="1:28" s="4" customFormat="1" ht="42" customHeight="1">
      <c r="A1714" s="5">
        <v>0</v>
      </c>
      <c r="B1714" s="6" t="s">
        <v>9901</v>
      </c>
      <c r="C1714" s="13">
        <v>772.8</v>
      </c>
      <c r="D1714" s="8" t="s">
        <v>9902</v>
      </c>
      <c r="E1714" s="8" t="s">
        <v>9903</v>
      </c>
      <c r="F1714" s="8" t="s">
        <v>9904</v>
      </c>
      <c r="G1714" s="6" t="s">
        <v>38</v>
      </c>
      <c r="H1714" s="6" t="s">
        <v>39</v>
      </c>
      <c r="I1714" s="8" t="s">
        <v>40</v>
      </c>
      <c r="J1714" s="9">
        <v>1</v>
      </c>
      <c r="K1714" s="9">
        <v>140</v>
      </c>
      <c r="L1714" s="9">
        <v>2024</v>
      </c>
      <c r="M1714" s="8" t="s">
        <v>9905</v>
      </c>
      <c r="N1714" s="8" t="s">
        <v>229</v>
      </c>
      <c r="O1714" s="8" t="s">
        <v>230</v>
      </c>
      <c r="P1714" s="6" t="s">
        <v>44</v>
      </c>
      <c r="Q1714" s="8" t="s">
        <v>45</v>
      </c>
      <c r="R1714" s="10" t="s">
        <v>3411</v>
      </c>
      <c r="S1714" s="11"/>
      <c r="T1714" s="6"/>
      <c r="U1714" s="24" t="str">
        <f>HYPERLINK("https://media.infra-m.ru/2090/2090022/cover/2090022.jpg", "Обложка")</f>
        <v>Обложка</v>
      </c>
      <c r="V1714" s="24" t="str">
        <f>HYPERLINK("https://znanium.ru/catalog/product/2090022", "Ознакомиться")</f>
        <v>Ознакомиться</v>
      </c>
      <c r="W1714" s="8" t="s">
        <v>346</v>
      </c>
      <c r="X1714" s="6"/>
      <c r="Y1714" s="6"/>
      <c r="Z1714" s="6"/>
      <c r="AA1714" s="6" t="s">
        <v>127</v>
      </c>
      <c r="AB1714" s="8"/>
    </row>
    <row r="1715" spans="1:28" s="4" customFormat="1" ht="44.1" customHeight="1">
      <c r="A1715" s="5">
        <v>0</v>
      </c>
      <c r="B1715" s="6" t="s">
        <v>9906</v>
      </c>
      <c r="C1715" s="7">
        <v>1852.8</v>
      </c>
      <c r="D1715" s="8" t="s">
        <v>9907</v>
      </c>
      <c r="E1715" s="8" t="s">
        <v>9908</v>
      </c>
      <c r="F1715" s="8" t="s">
        <v>4970</v>
      </c>
      <c r="G1715" s="6" t="s">
        <v>38</v>
      </c>
      <c r="H1715" s="6" t="s">
        <v>39</v>
      </c>
      <c r="I1715" s="8" t="s">
        <v>40</v>
      </c>
      <c r="J1715" s="9">
        <v>1</v>
      </c>
      <c r="K1715" s="9">
        <v>326</v>
      </c>
      <c r="L1715" s="9">
        <v>2024</v>
      </c>
      <c r="M1715" s="8" t="s">
        <v>9909</v>
      </c>
      <c r="N1715" s="8" t="s">
        <v>42</v>
      </c>
      <c r="O1715" s="8" t="s">
        <v>189</v>
      </c>
      <c r="P1715" s="6" t="s">
        <v>44</v>
      </c>
      <c r="Q1715" s="8" t="s">
        <v>45</v>
      </c>
      <c r="R1715" s="10" t="s">
        <v>9910</v>
      </c>
      <c r="S1715" s="11"/>
      <c r="T1715" s="6" t="s">
        <v>1080</v>
      </c>
      <c r="U1715" s="24" t="str">
        <f>HYPERLINK("https://media.infra-m.ru/2149/2149660/cover/2149660.jpg", "Обложка")</f>
        <v>Обложка</v>
      </c>
      <c r="V1715" s="24" t="str">
        <f>HYPERLINK("https://znanium.ru/catalog/product/1842508", "Ознакомиться")</f>
        <v>Ознакомиться</v>
      </c>
      <c r="W1715" s="8" t="s">
        <v>4973</v>
      </c>
      <c r="X1715" s="6"/>
      <c r="Y1715" s="6"/>
      <c r="Z1715" s="6"/>
      <c r="AA1715" s="6" t="s">
        <v>168</v>
      </c>
      <c r="AB1715" s="8"/>
    </row>
    <row r="1716" spans="1:28" s="4" customFormat="1" ht="51.95" customHeight="1">
      <c r="A1716" s="5">
        <v>0</v>
      </c>
      <c r="B1716" s="6" t="s">
        <v>9911</v>
      </c>
      <c r="C1716" s="7">
        <v>1344</v>
      </c>
      <c r="D1716" s="8" t="s">
        <v>9912</v>
      </c>
      <c r="E1716" s="8" t="s">
        <v>9913</v>
      </c>
      <c r="F1716" s="8" t="s">
        <v>9914</v>
      </c>
      <c r="G1716" s="6" t="s">
        <v>38</v>
      </c>
      <c r="H1716" s="6" t="s">
        <v>39</v>
      </c>
      <c r="I1716" s="8" t="s">
        <v>40</v>
      </c>
      <c r="J1716" s="9">
        <v>1</v>
      </c>
      <c r="K1716" s="9">
        <v>246</v>
      </c>
      <c r="L1716" s="9">
        <v>2022</v>
      </c>
      <c r="M1716" s="8" t="s">
        <v>9915</v>
      </c>
      <c r="N1716" s="8" t="s">
        <v>229</v>
      </c>
      <c r="O1716" s="8" t="s">
        <v>230</v>
      </c>
      <c r="P1716" s="6" t="s">
        <v>44</v>
      </c>
      <c r="Q1716" s="8" t="s">
        <v>45</v>
      </c>
      <c r="R1716" s="10" t="s">
        <v>9916</v>
      </c>
      <c r="S1716" s="11"/>
      <c r="T1716" s="6"/>
      <c r="U1716" s="24" t="str">
        <f>HYPERLINK("https://media.infra-m.ru/1851/1851555/cover/1851555.jpg", "Обложка")</f>
        <v>Обложка</v>
      </c>
      <c r="V1716" s="24" t="str">
        <f>HYPERLINK("https://znanium.ru/catalog/product/1851555", "Ознакомиться")</f>
        <v>Ознакомиться</v>
      </c>
      <c r="W1716" s="8" t="s">
        <v>9917</v>
      </c>
      <c r="X1716" s="6"/>
      <c r="Y1716" s="6"/>
      <c r="Z1716" s="6"/>
      <c r="AA1716" s="6" t="s">
        <v>111</v>
      </c>
      <c r="AB1716" s="8" t="s">
        <v>9918</v>
      </c>
    </row>
    <row r="1717" spans="1:28" s="4" customFormat="1" ht="51.95" customHeight="1">
      <c r="A1717" s="5">
        <v>0</v>
      </c>
      <c r="B1717" s="6" t="s">
        <v>9919</v>
      </c>
      <c r="C1717" s="13">
        <v>792</v>
      </c>
      <c r="D1717" s="8" t="s">
        <v>9920</v>
      </c>
      <c r="E1717" s="8" t="s">
        <v>9921</v>
      </c>
      <c r="F1717" s="8" t="s">
        <v>9922</v>
      </c>
      <c r="G1717" s="6" t="s">
        <v>38</v>
      </c>
      <c r="H1717" s="6" t="s">
        <v>39</v>
      </c>
      <c r="I1717" s="8" t="s">
        <v>40</v>
      </c>
      <c r="J1717" s="9">
        <v>1</v>
      </c>
      <c r="K1717" s="9">
        <v>128</v>
      </c>
      <c r="L1717" s="9">
        <v>2026</v>
      </c>
      <c r="M1717" s="8" t="s">
        <v>9923</v>
      </c>
      <c r="N1717" s="8" t="s">
        <v>229</v>
      </c>
      <c r="O1717" s="8" t="s">
        <v>230</v>
      </c>
      <c r="P1717" s="6" t="s">
        <v>44</v>
      </c>
      <c r="Q1717" s="8" t="s">
        <v>45</v>
      </c>
      <c r="R1717" s="10" t="s">
        <v>9924</v>
      </c>
      <c r="S1717" s="11"/>
      <c r="T1717" s="6"/>
      <c r="U1717" s="24" t="str">
        <f>HYPERLINK("https://media.infra-m.ru/2197/2197256/cover/2197256.jpg", "Обложка")</f>
        <v>Обложка</v>
      </c>
      <c r="V1717" s="24" t="str">
        <f>HYPERLINK("https://znanium.ru/catalog/product/2197256", "Ознакомиться")</f>
        <v>Ознакомиться</v>
      </c>
      <c r="W1717" s="8" t="s">
        <v>535</v>
      </c>
      <c r="X1717" s="6"/>
      <c r="Y1717" s="6"/>
      <c r="Z1717" s="6"/>
      <c r="AA1717" s="6" t="s">
        <v>536</v>
      </c>
      <c r="AB1717" s="8"/>
    </row>
    <row r="1718" spans="1:28" s="4" customFormat="1" ht="42" customHeight="1">
      <c r="A1718" s="5">
        <v>0</v>
      </c>
      <c r="B1718" s="6" t="s">
        <v>9925</v>
      </c>
      <c r="C1718" s="7">
        <v>1476</v>
      </c>
      <c r="D1718" s="8" t="s">
        <v>9926</v>
      </c>
      <c r="E1718" s="8" t="s">
        <v>9927</v>
      </c>
      <c r="F1718" s="8" t="s">
        <v>9928</v>
      </c>
      <c r="G1718" s="6" t="s">
        <v>81</v>
      </c>
      <c r="H1718" s="6" t="s">
        <v>39</v>
      </c>
      <c r="I1718" s="8" t="s">
        <v>40</v>
      </c>
      <c r="J1718" s="9">
        <v>1</v>
      </c>
      <c r="K1718" s="9">
        <v>267</v>
      </c>
      <c r="L1718" s="9">
        <v>2024</v>
      </c>
      <c r="M1718" s="8" t="s">
        <v>9929</v>
      </c>
      <c r="N1718" s="8" t="s">
        <v>42</v>
      </c>
      <c r="O1718" s="8" t="s">
        <v>246</v>
      </c>
      <c r="P1718" s="6" t="s">
        <v>44</v>
      </c>
      <c r="Q1718" s="8" t="s">
        <v>45</v>
      </c>
      <c r="R1718" s="10" t="s">
        <v>9930</v>
      </c>
      <c r="S1718" s="11"/>
      <c r="T1718" s="6" t="s">
        <v>1080</v>
      </c>
      <c r="U1718" s="24" t="str">
        <f>HYPERLINK("https://media.infra-m.ru/2082/2082167/cover/2082167.jpg", "Обложка")</f>
        <v>Обложка</v>
      </c>
      <c r="V1718" s="24" t="str">
        <f>HYPERLINK("https://znanium.ru/catalog/product/2082167", "Ознакомиться")</f>
        <v>Ознакомиться</v>
      </c>
      <c r="W1718" s="8" t="s">
        <v>516</v>
      </c>
      <c r="X1718" s="6"/>
      <c r="Y1718" s="6"/>
      <c r="Z1718" s="6"/>
      <c r="AA1718" s="6" t="s">
        <v>377</v>
      </c>
      <c r="AB1718" s="8"/>
    </row>
    <row r="1719" spans="1:28" s="4" customFormat="1" ht="51.95" customHeight="1">
      <c r="A1719" s="5">
        <v>0</v>
      </c>
      <c r="B1719" s="6" t="s">
        <v>9931</v>
      </c>
      <c r="C1719" s="7">
        <v>1104</v>
      </c>
      <c r="D1719" s="8" t="s">
        <v>9932</v>
      </c>
      <c r="E1719" s="8" t="s">
        <v>9933</v>
      </c>
      <c r="F1719" s="8" t="s">
        <v>9934</v>
      </c>
      <c r="G1719" s="6" t="s">
        <v>38</v>
      </c>
      <c r="H1719" s="6" t="s">
        <v>39</v>
      </c>
      <c r="I1719" s="8" t="s">
        <v>40</v>
      </c>
      <c r="J1719" s="9">
        <v>1</v>
      </c>
      <c r="K1719" s="9">
        <v>199</v>
      </c>
      <c r="L1719" s="9">
        <v>2024</v>
      </c>
      <c r="M1719" s="8" t="s">
        <v>9935</v>
      </c>
      <c r="N1719" s="8" t="s">
        <v>42</v>
      </c>
      <c r="O1719" s="8" t="s">
        <v>189</v>
      </c>
      <c r="P1719" s="6" t="s">
        <v>44</v>
      </c>
      <c r="Q1719" s="8" t="s">
        <v>45</v>
      </c>
      <c r="R1719" s="10" t="s">
        <v>9936</v>
      </c>
      <c r="S1719" s="11"/>
      <c r="T1719" s="6"/>
      <c r="U1719" s="24" t="str">
        <f>HYPERLINK("https://media.infra-m.ru/2125/2125183/cover/2125183.jpg", "Обложка")</f>
        <v>Обложка</v>
      </c>
      <c r="V1719" s="24" t="str">
        <f>HYPERLINK("https://znanium.ru/catalog/product/2125183", "Ознакомиться")</f>
        <v>Ознакомиться</v>
      </c>
      <c r="W1719" s="8" t="s">
        <v>314</v>
      </c>
      <c r="X1719" s="6"/>
      <c r="Y1719" s="6"/>
      <c r="Z1719" s="6"/>
      <c r="AA1719" s="6" t="s">
        <v>48</v>
      </c>
      <c r="AB1719" s="8"/>
    </row>
    <row r="1720" spans="1:28" s="4" customFormat="1" ht="51.95" customHeight="1">
      <c r="A1720" s="5">
        <v>0</v>
      </c>
      <c r="B1720" s="6" t="s">
        <v>9937</v>
      </c>
      <c r="C1720" s="7">
        <v>1168.8</v>
      </c>
      <c r="D1720" s="8" t="s">
        <v>9938</v>
      </c>
      <c r="E1720" s="8" t="s">
        <v>9939</v>
      </c>
      <c r="F1720" s="8" t="s">
        <v>9940</v>
      </c>
      <c r="G1720" s="6" t="s">
        <v>38</v>
      </c>
      <c r="H1720" s="6" t="s">
        <v>39</v>
      </c>
      <c r="I1720" s="8" t="s">
        <v>40</v>
      </c>
      <c r="J1720" s="9">
        <v>1</v>
      </c>
      <c r="K1720" s="9">
        <v>211</v>
      </c>
      <c r="L1720" s="9">
        <v>2024</v>
      </c>
      <c r="M1720" s="8" t="s">
        <v>9941</v>
      </c>
      <c r="N1720" s="8" t="s">
        <v>42</v>
      </c>
      <c r="O1720" s="8" t="s">
        <v>246</v>
      </c>
      <c r="P1720" s="6" t="s">
        <v>44</v>
      </c>
      <c r="Q1720" s="8" t="s">
        <v>45</v>
      </c>
      <c r="R1720" s="10" t="s">
        <v>3570</v>
      </c>
      <c r="S1720" s="11"/>
      <c r="T1720" s="6"/>
      <c r="U1720" s="24" t="str">
        <f>HYPERLINK("https://media.infra-m.ru/2086/2086863/cover/2086863.jpg", "Обложка")</f>
        <v>Обложка</v>
      </c>
      <c r="V1720" s="24" t="str">
        <f>HYPERLINK("https://znanium.ru/catalog/product/1094522", "Ознакомиться")</f>
        <v>Ознакомиться</v>
      </c>
      <c r="W1720" s="8" t="s">
        <v>3948</v>
      </c>
      <c r="X1720" s="6"/>
      <c r="Y1720" s="6"/>
      <c r="Z1720" s="6"/>
      <c r="AA1720" s="6" t="s">
        <v>290</v>
      </c>
      <c r="AB1720" s="8"/>
    </row>
    <row r="1721" spans="1:28" s="4" customFormat="1" ht="42" customHeight="1">
      <c r="A1721" s="5">
        <v>0</v>
      </c>
      <c r="B1721" s="6" t="s">
        <v>9942</v>
      </c>
      <c r="C1721" s="7">
        <v>1782</v>
      </c>
      <c r="D1721" s="8" t="s">
        <v>9943</v>
      </c>
      <c r="E1721" s="8" t="s">
        <v>9944</v>
      </c>
      <c r="F1721" s="8" t="s">
        <v>8150</v>
      </c>
      <c r="G1721" s="6" t="s">
        <v>132</v>
      </c>
      <c r="H1721" s="6" t="s">
        <v>99</v>
      </c>
      <c r="I1721" s="8"/>
      <c r="J1721" s="9">
        <v>1</v>
      </c>
      <c r="K1721" s="9">
        <v>220</v>
      </c>
      <c r="L1721" s="9">
        <v>2023</v>
      </c>
      <c r="M1721" s="8" t="s">
        <v>9945</v>
      </c>
      <c r="N1721" s="8" t="s">
        <v>42</v>
      </c>
      <c r="O1721" s="8" t="s">
        <v>101</v>
      </c>
      <c r="P1721" s="6" t="s">
        <v>44</v>
      </c>
      <c r="Q1721" s="8" t="s">
        <v>45</v>
      </c>
      <c r="R1721" s="10" t="s">
        <v>9946</v>
      </c>
      <c r="S1721" s="11"/>
      <c r="T1721" s="6"/>
      <c r="U1721" s="24" t="str">
        <f>HYPERLINK("https://media.infra-m.ru/2088/2088675/cover/2088675.jpg", "Обложка")</f>
        <v>Обложка</v>
      </c>
      <c r="V1721" s="24" t="str">
        <f>HYPERLINK("https://znanium.ru/catalog/product/2051289", "Ознакомиться")</f>
        <v>Ознакомиться</v>
      </c>
      <c r="W1721" s="8" t="s">
        <v>4859</v>
      </c>
      <c r="X1721" s="6"/>
      <c r="Y1721" s="6"/>
      <c r="Z1721" s="6"/>
      <c r="AA1721" s="6" t="s">
        <v>119</v>
      </c>
      <c r="AB1721" s="8"/>
    </row>
    <row r="1722" spans="1:28" s="4" customFormat="1" ht="44.1" customHeight="1">
      <c r="A1722" s="5">
        <v>0</v>
      </c>
      <c r="B1722" s="6" t="s">
        <v>9947</v>
      </c>
      <c r="C1722" s="13">
        <v>468</v>
      </c>
      <c r="D1722" s="8" t="s">
        <v>9948</v>
      </c>
      <c r="E1722" s="8" t="s">
        <v>9949</v>
      </c>
      <c r="F1722" s="8" t="s">
        <v>9950</v>
      </c>
      <c r="G1722" s="6" t="s">
        <v>38</v>
      </c>
      <c r="H1722" s="6" t="s">
        <v>39</v>
      </c>
      <c r="I1722" s="8" t="s">
        <v>40</v>
      </c>
      <c r="J1722" s="9">
        <v>1</v>
      </c>
      <c r="K1722" s="9">
        <v>100</v>
      </c>
      <c r="L1722" s="9">
        <v>2020</v>
      </c>
      <c r="M1722" s="8" t="s">
        <v>9951</v>
      </c>
      <c r="N1722" s="8" t="s">
        <v>42</v>
      </c>
      <c r="O1722" s="8" t="s">
        <v>189</v>
      </c>
      <c r="P1722" s="6" t="s">
        <v>44</v>
      </c>
      <c r="Q1722" s="8" t="s">
        <v>45</v>
      </c>
      <c r="R1722" s="10" t="s">
        <v>9952</v>
      </c>
      <c r="S1722" s="11"/>
      <c r="T1722" s="6"/>
      <c r="U1722" s="24" t="str">
        <f>HYPERLINK("https://media.infra-m.ru/1003/1003262/cover/1003262.jpg", "Обложка")</f>
        <v>Обложка</v>
      </c>
      <c r="V1722" s="24" t="str">
        <f>HYPERLINK("https://znanium.ru/catalog/product/1003262", "Ознакомиться")</f>
        <v>Ознакомиться</v>
      </c>
      <c r="W1722" s="8" t="s">
        <v>2019</v>
      </c>
      <c r="X1722" s="6"/>
      <c r="Y1722" s="6"/>
      <c r="Z1722" s="6"/>
      <c r="AA1722" s="6" t="s">
        <v>369</v>
      </c>
      <c r="AB1722" s="8"/>
    </row>
    <row r="1723" spans="1:28" s="4" customFormat="1" ht="44.1" customHeight="1">
      <c r="A1723" s="5">
        <v>0</v>
      </c>
      <c r="B1723" s="6" t="s">
        <v>9953</v>
      </c>
      <c r="C1723" s="7">
        <v>1540.8</v>
      </c>
      <c r="D1723" s="8" t="s">
        <v>9954</v>
      </c>
      <c r="E1723" s="8" t="s">
        <v>9955</v>
      </c>
      <c r="F1723" s="8" t="s">
        <v>9956</v>
      </c>
      <c r="G1723" s="6" t="s">
        <v>38</v>
      </c>
      <c r="H1723" s="6" t="s">
        <v>182</v>
      </c>
      <c r="I1723" s="8" t="s">
        <v>40</v>
      </c>
      <c r="J1723" s="9">
        <v>1</v>
      </c>
      <c r="K1723" s="9">
        <v>246</v>
      </c>
      <c r="L1723" s="9">
        <v>2026</v>
      </c>
      <c r="M1723" s="8" t="s">
        <v>9957</v>
      </c>
      <c r="N1723" s="8" t="s">
        <v>42</v>
      </c>
      <c r="O1723" s="8" t="s">
        <v>246</v>
      </c>
      <c r="P1723" s="6" t="s">
        <v>44</v>
      </c>
      <c r="Q1723" s="8" t="s">
        <v>45</v>
      </c>
      <c r="R1723" s="10" t="s">
        <v>1036</v>
      </c>
      <c r="S1723" s="11"/>
      <c r="T1723" s="6"/>
      <c r="U1723" s="24" t="str">
        <f>HYPERLINK("https://media.infra-m.ru/1920/1920371/cover/1920371.jpg", "Обложка")</f>
        <v>Обложка</v>
      </c>
      <c r="V1723" s="24" t="str">
        <f>HYPERLINK("https://znanium.ru/catalog/product/1920370", "Ознакомиться")</f>
        <v>Ознакомиться</v>
      </c>
      <c r="W1723" s="8" t="s">
        <v>2047</v>
      </c>
      <c r="X1723" s="6"/>
      <c r="Y1723" s="6"/>
      <c r="Z1723" s="6"/>
      <c r="AA1723" s="6" t="s">
        <v>369</v>
      </c>
      <c r="AB1723" s="8"/>
    </row>
    <row r="1724" spans="1:28" s="4" customFormat="1" ht="42" customHeight="1">
      <c r="A1724" s="5">
        <v>0</v>
      </c>
      <c r="B1724" s="6" t="s">
        <v>9958</v>
      </c>
      <c r="C1724" s="7">
        <v>2184</v>
      </c>
      <c r="D1724" s="8" t="s">
        <v>9959</v>
      </c>
      <c r="E1724" s="8" t="s">
        <v>9960</v>
      </c>
      <c r="F1724" s="8" t="s">
        <v>9961</v>
      </c>
      <c r="G1724" s="6" t="s">
        <v>81</v>
      </c>
      <c r="H1724" s="6" t="s">
        <v>39</v>
      </c>
      <c r="I1724" s="8" t="s">
        <v>40</v>
      </c>
      <c r="J1724" s="9">
        <v>1</v>
      </c>
      <c r="K1724" s="9">
        <v>395</v>
      </c>
      <c r="L1724" s="9">
        <v>2024</v>
      </c>
      <c r="M1724" s="8" t="s">
        <v>9962</v>
      </c>
      <c r="N1724" s="8" t="s">
        <v>284</v>
      </c>
      <c r="O1724" s="8" t="s">
        <v>2265</v>
      </c>
      <c r="P1724" s="6" t="s">
        <v>44</v>
      </c>
      <c r="Q1724" s="8" t="s">
        <v>45</v>
      </c>
      <c r="R1724" s="10" t="s">
        <v>4078</v>
      </c>
      <c r="S1724" s="11"/>
      <c r="T1724" s="6"/>
      <c r="U1724" s="24" t="str">
        <f>HYPERLINK("https://media.infra-m.ru/2111/2111784/cover/2111784.jpg", "Обложка")</f>
        <v>Обложка</v>
      </c>
      <c r="V1724" s="24" t="str">
        <f>HYPERLINK("https://znanium.ru/catalog/product/2111784", "Ознакомиться")</f>
        <v>Ознакомиться</v>
      </c>
      <c r="W1724" s="8" t="s">
        <v>3600</v>
      </c>
      <c r="X1724" s="6"/>
      <c r="Y1724" s="6"/>
      <c r="Z1724" s="6"/>
      <c r="AA1724" s="6" t="s">
        <v>168</v>
      </c>
      <c r="AB1724" s="8"/>
    </row>
    <row r="1725" spans="1:28" s="4" customFormat="1" ht="44.1" customHeight="1">
      <c r="A1725" s="5">
        <v>0</v>
      </c>
      <c r="B1725" s="6" t="s">
        <v>9963</v>
      </c>
      <c r="C1725" s="7">
        <v>1536</v>
      </c>
      <c r="D1725" s="8" t="s">
        <v>9964</v>
      </c>
      <c r="E1725" s="8" t="s">
        <v>9965</v>
      </c>
      <c r="F1725" s="8" t="s">
        <v>9966</v>
      </c>
      <c r="G1725" s="6" t="s">
        <v>81</v>
      </c>
      <c r="H1725" s="6" t="s">
        <v>39</v>
      </c>
      <c r="I1725" s="8" t="s">
        <v>344</v>
      </c>
      <c r="J1725" s="9">
        <v>1</v>
      </c>
      <c r="K1725" s="9">
        <v>247</v>
      </c>
      <c r="L1725" s="9">
        <v>2025</v>
      </c>
      <c r="M1725" s="8" t="s">
        <v>9967</v>
      </c>
      <c r="N1725" s="8" t="s">
        <v>42</v>
      </c>
      <c r="O1725" s="8" t="s">
        <v>246</v>
      </c>
      <c r="P1725" s="6" t="s">
        <v>44</v>
      </c>
      <c r="Q1725" s="8" t="s">
        <v>45</v>
      </c>
      <c r="R1725" s="10" t="s">
        <v>9968</v>
      </c>
      <c r="S1725" s="11"/>
      <c r="T1725" s="6"/>
      <c r="U1725" s="24" t="str">
        <f>HYPERLINK("https://media.infra-m.ru/2194/2194985/cover/2194985.jpg", "Обложка")</f>
        <v>Обложка</v>
      </c>
      <c r="V1725" s="12"/>
      <c r="W1725" s="8" t="s">
        <v>346</v>
      </c>
      <c r="X1725" s="6"/>
      <c r="Y1725" s="6"/>
      <c r="Z1725" s="6"/>
      <c r="AA1725" s="6" t="s">
        <v>68</v>
      </c>
      <c r="AB1725" s="8"/>
    </row>
    <row r="1726" spans="1:28" s="4" customFormat="1" ht="51.95" customHeight="1">
      <c r="A1726" s="5">
        <v>0</v>
      </c>
      <c r="B1726" s="6" t="s">
        <v>9969</v>
      </c>
      <c r="C1726" s="13">
        <v>904.8</v>
      </c>
      <c r="D1726" s="8" t="s">
        <v>9970</v>
      </c>
      <c r="E1726" s="8" t="s">
        <v>9971</v>
      </c>
      <c r="F1726" s="8" t="s">
        <v>9972</v>
      </c>
      <c r="G1726" s="6" t="s">
        <v>38</v>
      </c>
      <c r="H1726" s="6" t="s">
        <v>39</v>
      </c>
      <c r="I1726" s="8" t="s">
        <v>40</v>
      </c>
      <c r="J1726" s="9">
        <v>1</v>
      </c>
      <c r="K1726" s="9">
        <v>160</v>
      </c>
      <c r="L1726" s="9">
        <v>2024</v>
      </c>
      <c r="M1726" s="8" t="s">
        <v>9973</v>
      </c>
      <c r="N1726" s="8" t="s">
        <v>54</v>
      </c>
      <c r="O1726" s="8" t="s">
        <v>55</v>
      </c>
      <c r="P1726" s="6" t="s">
        <v>44</v>
      </c>
      <c r="Q1726" s="8" t="s">
        <v>45</v>
      </c>
      <c r="R1726" s="10" t="s">
        <v>9974</v>
      </c>
      <c r="S1726" s="11"/>
      <c r="T1726" s="6"/>
      <c r="U1726" s="24" t="str">
        <f>HYPERLINK("https://media.infra-m.ru/2134/2134158/cover/2134158.jpg", "Обложка")</f>
        <v>Обложка</v>
      </c>
      <c r="V1726" s="24" t="str">
        <f>HYPERLINK("https://znanium.ru/catalog/product/1010058", "Ознакомиться")</f>
        <v>Ознакомиться</v>
      </c>
      <c r="W1726" s="8" t="s">
        <v>5156</v>
      </c>
      <c r="X1726" s="6"/>
      <c r="Y1726" s="6"/>
      <c r="Z1726" s="6"/>
      <c r="AA1726" s="6" t="s">
        <v>331</v>
      </c>
      <c r="AB1726" s="8"/>
    </row>
    <row r="1727" spans="1:28" s="4" customFormat="1" ht="44.1" customHeight="1">
      <c r="A1727" s="5">
        <v>0</v>
      </c>
      <c r="B1727" s="6" t="s">
        <v>9975</v>
      </c>
      <c r="C1727" s="7">
        <v>1188</v>
      </c>
      <c r="D1727" s="8" t="s">
        <v>9976</v>
      </c>
      <c r="E1727" s="8" t="s">
        <v>9977</v>
      </c>
      <c r="F1727" s="8" t="s">
        <v>2318</v>
      </c>
      <c r="G1727" s="6" t="s">
        <v>132</v>
      </c>
      <c r="H1727" s="6" t="s">
        <v>39</v>
      </c>
      <c r="I1727" s="8" t="s">
        <v>40</v>
      </c>
      <c r="J1727" s="9">
        <v>1</v>
      </c>
      <c r="K1727" s="9">
        <v>206</v>
      </c>
      <c r="L1727" s="9">
        <v>2024</v>
      </c>
      <c r="M1727" s="8" t="s">
        <v>9978</v>
      </c>
      <c r="N1727" s="8" t="s">
        <v>42</v>
      </c>
      <c r="O1727" s="8" t="s">
        <v>189</v>
      </c>
      <c r="P1727" s="6" t="s">
        <v>44</v>
      </c>
      <c r="Q1727" s="8" t="s">
        <v>45</v>
      </c>
      <c r="R1727" s="10" t="s">
        <v>190</v>
      </c>
      <c r="S1727" s="11"/>
      <c r="T1727" s="6"/>
      <c r="U1727" s="24" t="str">
        <f>HYPERLINK("https://media.infra-m.ru/2108/2108537/cover/2108537.jpg", "Обложка")</f>
        <v>Обложка</v>
      </c>
      <c r="V1727" s="24" t="str">
        <f>HYPERLINK("https://znanium.ru/catalog/product/2108537", "Ознакомиться")</f>
        <v>Ознакомиться</v>
      </c>
      <c r="W1727" s="8" t="s">
        <v>2320</v>
      </c>
      <c r="X1727" s="6"/>
      <c r="Y1727" s="6"/>
      <c r="Z1727" s="6"/>
      <c r="AA1727" s="6" t="s">
        <v>58</v>
      </c>
      <c r="AB1727" s="8"/>
    </row>
    <row r="1728" spans="1:28" s="4" customFormat="1" ht="42" customHeight="1">
      <c r="A1728" s="5">
        <v>0</v>
      </c>
      <c r="B1728" s="6" t="s">
        <v>9979</v>
      </c>
      <c r="C1728" s="7">
        <v>1188</v>
      </c>
      <c r="D1728" s="8" t="s">
        <v>9980</v>
      </c>
      <c r="E1728" s="8" t="s">
        <v>9981</v>
      </c>
      <c r="F1728" s="8" t="s">
        <v>9982</v>
      </c>
      <c r="G1728" s="6" t="s">
        <v>38</v>
      </c>
      <c r="H1728" s="6" t="s">
        <v>39</v>
      </c>
      <c r="I1728" s="8" t="s">
        <v>40</v>
      </c>
      <c r="J1728" s="9">
        <v>1</v>
      </c>
      <c r="K1728" s="9">
        <v>197</v>
      </c>
      <c r="L1728" s="9">
        <v>2025</v>
      </c>
      <c r="M1728" s="8" t="s">
        <v>9983</v>
      </c>
      <c r="N1728" s="8" t="s">
        <v>54</v>
      </c>
      <c r="O1728" s="8" t="s">
        <v>55</v>
      </c>
      <c r="P1728" s="6" t="s">
        <v>44</v>
      </c>
      <c r="Q1728" s="8" t="s">
        <v>45</v>
      </c>
      <c r="R1728" s="10" t="s">
        <v>9984</v>
      </c>
      <c r="S1728" s="11"/>
      <c r="T1728" s="6"/>
      <c r="U1728" s="24" t="str">
        <f>HYPERLINK("https://media.infra-m.ru/2140/2140133/cover/2140133.jpg", "Обложка")</f>
        <v>Обложка</v>
      </c>
      <c r="V1728" s="24" t="str">
        <f>HYPERLINK("https://znanium.ru/catalog/product/2140133", "Ознакомиться")</f>
        <v>Ознакомиться</v>
      </c>
      <c r="W1728" s="8" t="s">
        <v>191</v>
      </c>
      <c r="X1728" s="6"/>
      <c r="Y1728" s="6"/>
      <c r="Z1728" s="6"/>
      <c r="AA1728" s="6" t="s">
        <v>159</v>
      </c>
      <c r="AB1728" s="8" t="s">
        <v>59</v>
      </c>
    </row>
    <row r="1729" spans="1:28" s="4" customFormat="1" ht="42" customHeight="1">
      <c r="A1729" s="5">
        <v>0</v>
      </c>
      <c r="B1729" s="6" t="s">
        <v>9985</v>
      </c>
      <c r="C1729" s="13">
        <v>804</v>
      </c>
      <c r="D1729" s="8" t="s">
        <v>9986</v>
      </c>
      <c r="E1729" s="8" t="s">
        <v>9987</v>
      </c>
      <c r="F1729" s="8" t="s">
        <v>9988</v>
      </c>
      <c r="G1729" s="6" t="s">
        <v>38</v>
      </c>
      <c r="H1729" s="6" t="s">
        <v>39</v>
      </c>
      <c r="I1729" s="8" t="s">
        <v>2342</v>
      </c>
      <c r="J1729" s="9">
        <v>1</v>
      </c>
      <c r="K1729" s="9">
        <v>139</v>
      </c>
      <c r="L1729" s="9">
        <v>2022</v>
      </c>
      <c r="M1729" s="8" t="s">
        <v>9989</v>
      </c>
      <c r="N1729" s="8" t="s">
        <v>284</v>
      </c>
      <c r="O1729" s="8" t="s">
        <v>717</v>
      </c>
      <c r="P1729" s="6" t="s">
        <v>44</v>
      </c>
      <c r="Q1729" s="8" t="s">
        <v>45</v>
      </c>
      <c r="R1729" s="10" t="s">
        <v>9990</v>
      </c>
      <c r="S1729" s="11"/>
      <c r="T1729" s="6"/>
      <c r="U1729" s="24" t="str">
        <f>HYPERLINK("https://media.infra-m.ru/1860/1860851/cover/1860851.jpg", "Обложка")</f>
        <v>Обложка</v>
      </c>
      <c r="V1729" s="24" t="str">
        <f>HYPERLINK("https://znanium.ru/catalog/product/1860851", "Ознакомиться")</f>
        <v>Ознакомиться</v>
      </c>
      <c r="W1729" s="8" t="s">
        <v>232</v>
      </c>
      <c r="X1729" s="6"/>
      <c r="Y1729" s="6"/>
      <c r="Z1729" s="6"/>
      <c r="AA1729" s="6" t="s">
        <v>76</v>
      </c>
      <c r="AB1729" s="8"/>
    </row>
    <row r="1730" spans="1:28" s="4" customFormat="1" ht="44.1" customHeight="1">
      <c r="A1730" s="5">
        <v>0</v>
      </c>
      <c r="B1730" s="6" t="s">
        <v>9991</v>
      </c>
      <c r="C1730" s="7">
        <v>1356</v>
      </c>
      <c r="D1730" s="8" t="s">
        <v>9992</v>
      </c>
      <c r="E1730" s="8" t="s">
        <v>9993</v>
      </c>
      <c r="F1730" s="8" t="s">
        <v>9994</v>
      </c>
      <c r="G1730" s="6" t="s">
        <v>38</v>
      </c>
      <c r="H1730" s="6" t="s">
        <v>39</v>
      </c>
      <c r="I1730" s="8" t="s">
        <v>40</v>
      </c>
      <c r="J1730" s="9">
        <v>1</v>
      </c>
      <c r="K1730" s="9">
        <v>226</v>
      </c>
      <c r="L1730" s="9">
        <v>2024</v>
      </c>
      <c r="M1730" s="8" t="s">
        <v>9995</v>
      </c>
      <c r="N1730" s="8" t="s">
        <v>42</v>
      </c>
      <c r="O1730" s="8" t="s">
        <v>101</v>
      </c>
      <c r="P1730" s="6" t="s">
        <v>44</v>
      </c>
      <c r="Q1730" s="8" t="s">
        <v>45</v>
      </c>
      <c r="R1730" s="10" t="s">
        <v>874</v>
      </c>
      <c r="S1730" s="11"/>
      <c r="T1730" s="6"/>
      <c r="U1730" s="24" t="str">
        <f>HYPERLINK("https://media.infra-m.ru/2131/2131557/cover/2131557.jpg", "Обложка")</f>
        <v>Обложка</v>
      </c>
      <c r="V1730" s="24" t="str">
        <f>HYPERLINK("https://znanium.ru/catalog/product/2131557", "Ознакомиться")</f>
        <v>Ознакомиться</v>
      </c>
      <c r="W1730" s="8" t="s">
        <v>391</v>
      </c>
      <c r="X1730" s="6"/>
      <c r="Y1730" s="6"/>
      <c r="Z1730" s="6"/>
      <c r="AA1730" s="6" t="s">
        <v>58</v>
      </c>
      <c r="AB1730" s="8"/>
    </row>
    <row r="1731" spans="1:28" s="4" customFormat="1" ht="51.95" customHeight="1">
      <c r="A1731" s="5">
        <v>0</v>
      </c>
      <c r="B1731" s="6" t="s">
        <v>9996</v>
      </c>
      <c r="C1731" s="7">
        <v>1212</v>
      </c>
      <c r="D1731" s="8" t="s">
        <v>9997</v>
      </c>
      <c r="E1731" s="8" t="s">
        <v>9998</v>
      </c>
      <c r="F1731" s="8" t="s">
        <v>9999</v>
      </c>
      <c r="G1731" s="6" t="s">
        <v>81</v>
      </c>
      <c r="H1731" s="6" t="s">
        <v>39</v>
      </c>
      <c r="I1731" s="8" t="s">
        <v>40</v>
      </c>
      <c r="J1731" s="9">
        <v>1</v>
      </c>
      <c r="K1731" s="9">
        <v>187</v>
      </c>
      <c r="L1731" s="9">
        <v>2025</v>
      </c>
      <c r="M1731" s="8" t="s">
        <v>10000</v>
      </c>
      <c r="N1731" s="8" t="s">
        <v>42</v>
      </c>
      <c r="O1731" s="8" t="s">
        <v>101</v>
      </c>
      <c r="P1731" s="6" t="s">
        <v>44</v>
      </c>
      <c r="Q1731" s="8" t="s">
        <v>45</v>
      </c>
      <c r="R1731" s="10" t="s">
        <v>261</v>
      </c>
      <c r="S1731" s="11"/>
      <c r="T1731" s="6"/>
      <c r="U1731" s="24" t="str">
        <f>HYPERLINK("https://media.infra-m.ru/2208/2208736/cover/2208736.jpg", "Обложка")</f>
        <v>Обложка</v>
      </c>
      <c r="V1731" s="24" t="str">
        <f>HYPERLINK("https://znanium.ru/catalog/product/2208736", "Ознакомиться")</f>
        <v>Ознакомиться</v>
      </c>
      <c r="W1731" s="8" t="s">
        <v>207</v>
      </c>
      <c r="X1731" s="6"/>
      <c r="Y1731" s="6"/>
      <c r="Z1731" s="6"/>
      <c r="AA1731" s="6" t="s">
        <v>111</v>
      </c>
      <c r="AB1731" s="8"/>
    </row>
    <row r="1732" spans="1:28" s="4" customFormat="1" ht="51.95" customHeight="1">
      <c r="A1732" s="5">
        <v>0</v>
      </c>
      <c r="B1732" s="6" t="s">
        <v>10001</v>
      </c>
      <c r="C1732" s="7">
        <v>1164</v>
      </c>
      <c r="D1732" s="8" t="s">
        <v>10002</v>
      </c>
      <c r="E1732" s="8" t="s">
        <v>10003</v>
      </c>
      <c r="F1732" s="8" t="s">
        <v>10004</v>
      </c>
      <c r="G1732" s="6" t="s">
        <v>38</v>
      </c>
      <c r="H1732" s="6" t="s">
        <v>39</v>
      </c>
      <c r="I1732" s="8" t="s">
        <v>40</v>
      </c>
      <c r="J1732" s="9">
        <v>1</v>
      </c>
      <c r="K1732" s="9">
        <v>210</v>
      </c>
      <c r="L1732" s="9">
        <v>2024</v>
      </c>
      <c r="M1732" s="8" t="s">
        <v>10005</v>
      </c>
      <c r="N1732" s="8" t="s">
        <v>42</v>
      </c>
      <c r="O1732" s="8" t="s">
        <v>101</v>
      </c>
      <c r="P1732" s="6" t="s">
        <v>44</v>
      </c>
      <c r="Q1732" s="8" t="s">
        <v>45</v>
      </c>
      <c r="R1732" s="10" t="s">
        <v>10006</v>
      </c>
      <c r="S1732" s="11"/>
      <c r="T1732" s="6"/>
      <c r="U1732" s="24" t="str">
        <f>HYPERLINK("https://media.infra-m.ru/2083/2083372/cover/2083372.jpg", "Обложка")</f>
        <v>Обложка</v>
      </c>
      <c r="V1732" s="24" t="str">
        <f>HYPERLINK("https://znanium.ru/catalog/product/2083372", "Ознакомиться")</f>
        <v>Ознакомиться</v>
      </c>
      <c r="W1732" s="8" t="s">
        <v>7725</v>
      </c>
      <c r="X1732" s="6"/>
      <c r="Y1732" s="6"/>
      <c r="Z1732" s="6"/>
      <c r="AA1732" s="6" t="s">
        <v>119</v>
      </c>
      <c r="AB1732" s="8"/>
    </row>
    <row r="1733" spans="1:28" s="4" customFormat="1" ht="42" customHeight="1">
      <c r="A1733" s="5">
        <v>0</v>
      </c>
      <c r="B1733" s="6" t="s">
        <v>10007</v>
      </c>
      <c r="C1733" s="13">
        <v>996</v>
      </c>
      <c r="D1733" s="8" t="s">
        <v>10008</v>
      </c>
      <c r="E1733" s="8" t="s">
        <v>10009</v>
      </c>
      <c r="F1733" s="8" t="s">
        <v>10010</v>
      </c>
      <c r="G1733" s="6" t="s">
        <v>38</v>
      </c>
      <c r="H1733" s="6" t="s">
        <v>39</v>
      </c>
      <c r="I1733" s="8" t="s">
        <v>40</v>
      </c>
      <c r="J1733" s="9">
        <v>1</v>
      </c>
      <c r="K1733" s="9">
        <v>176</v>
      </c>
      <c r="L1733" s="9">
        <v>2024</v>
      </c>
      <c r="M1733" s="8" t="s">
        <v>10011</v>
      </c>
      <c r="N1733" s="8" t="s">
        <v>284</v>
      </c>
      <c r="O1733" s="8" t="s">
        <v>482</v>
      </c>
      <c r="P1733" s="6" t="s">
        <v>44</v>
      </c>
      <c r="Q1733" s="8" t="s">
        <v>45</v>
      </c>
      <c r="R1733" s="10" t="s">
        <v>7002</v>
      </c>
      <c r="S1733" s="11"/>
      <c r="T1733" s="6"/>
      <c r="U1733" s="24" t="str">
        <f>HYPERLINK("https://media.infra-m.ru/2129/2129182/cover/2129182.jpg", "Обложка")</f>
        <v>Обложка</v>
      </c>
      <c r="V1733" s="24" t="str">
        <f>HYPERLINK("https://znanium.ru/catalog/product/2129182", "Ознакомиться")</f>
        <v>Ознакомиться</v>
      </c>
      <c r="W1733" s="8" t="s">
        <v>550</v>
      </c>
      <c r="X1733" s="6"/>
      <c r="Y1733" s="6"/>
      <c r="Z1733" s="6"/>
      <c r="AA1733" s="6" t="s">
        <v>339</v>
      </c>
      <c r="AB1733" s="8"/>
    </row>
    <row r="1734" spans="1:28" s="4" customFormat="1" ht="51.95" customHeight="1">
      <c r="A1734" s="5">
        <v>0</v>
      </c>
      <c r="B1734" s="6" t="s">
        <v>10012</v>
      </c>
      <c r="C1734" s="7">
        <v>1732.8</v>
      </c>
      <c r="D1734" s="8" t="s">
        <v>10013</v>
      </c>
      <c r="E1734" s="8" t="s">
        <v>10014</v>
      </c>
      <c r="F1734" s="8" t="s">
        <v>10015</v>
      </c>
      <c r="G1734" s="6" t="s">
        <v>38</v>
      </c>
      <c r="H1734" s="6" t="s">
        <v>39</v>
      </c>
      <c r="I1734" s="8" t="s">
        <v>2342</v>
      </c>
      <c r="J1734" s="9">
        <v>1</v>
      </c>
      <c r="K1734" s="9">
        <v>314</v>
      </c>
      <c r="L1734" s="9">
        <v>2023</v>
      </c>
      <c r="M1734" s="8" t="s">
        <v>10016</v>
      </c>
      <c r="N1734" s="8" t="s">
        <v>229</v>
      </c>
      <c r="O1734" s="8" t="s">
        <v>230</v>
      </c>
      <c r="P1734" s="6" t="s">
        <v>44</v>
      </c>
      <c r="Q1734" s="8" t="s">
        <v>45</v>
      </c>
      <c r="R1734" s="10" t="s">
        <v>10017</v>
      </c>
      <c r="S1734" s="11"/>
      <c r="T1734" s="6"/>
      <c r="U1734" s="24" t="str">
        <f>HYPERLINK("https://media.infra-m.ru/2080/2080771/cover/2080771.jpg", "Обложка")</f>
        <v>Обложка</v>
      </c>
      <c r="V1734" s="24" t="str">
        <f>HYPERLINK("https://znanium.ru/catalog/product/1971879", "Ознакомиться")</f>
        <v>Ознакомиться</v>
      </c>
      <c r="W1734" s="8" t="s">
        <v>232</v>
      </c>
      <c r="X1734" s="6"/>
      <c r="Y1734" s="6"/>
      <c r="Z1734" s="6"/>
      <c r="AA1734" s="6" t="s">
        <v>76</v>
      </c>
      <c r="AB1734" s="8"/>
    </row>
    <row r="1735" spans="1:28" s="4" customFormat="1" ht="42" customHeight="1">
      <c r="A1735" s="5">
        <v>0</v>
      </c>
      <c r="B1735" s="6" t="s">
        <v>10018</v>
      </c>
      <c r="C1735" s="13">
        <v>616.79999999999995</v>
      </c>
      <c r="D1735" s="8" t="s">
        <v>10019</v>
      </c>
      <c r="E1735" s="8" t="s">
        <v>10020</v>
      </c>
      <c r="F1735" s="8" t="s">
        <v>10021</v>
      </c>
      <c r="G1735" s="6" t="s">
        <v>38</v>
      </c>
      <c r="H1735" s="6" t="s">
        <v>1019</v>
      </c>
      <c r="I1735" s="8" t="s">
        <v>1020</v>
      </c>
      <c r="J1735" s="9">
        <v>1</v>
      </c>
      <c r="K1735" s="9">
        <v>98</v>
      </c>
      <c r="L1735" s="9">
        <v>2025</v>
      </c>
      <c r="M1735" s="8" t="s">
        <v>10022</v>
      </c>
      <c r="N1735" s="8" t="s">
        <v>284</v>
      </c>
      <c r="O1735" s="8" t="s">
        <v>717</v>
      </c>
      <c r="P1735" s="6" t="s">
        <v>44</v>
      </c>
      <c r="Q1735" s="8" t="s">
        <v>3762</v>
      </c>
      <c r="R1735" s="10" t="s">
        <v>10023</v>
      </c>
      <c r="S1735" s="11"/>
      <c r="T1735" s="6"/>
      <c r="U1735" s="24" t="str">
        <f>HYPERLINK("https://media.infra-m.ru/2201/2201909/cover/2201909.jpg", "Обложка")</f>
        <v>Обложка</v>
      </c>
      <c r="V1735" s="24" t="str">
        <f>HYPERLINK("https://znanium.ru/catalog/product/1920317", "Ознакомиться")</f>
        <v>Ознакомиться</v>
      </c>
      <c r="W1735" s="8" t="s">
        <v>971</v>
      </c>
      <c r="X1735" s="6"/>
      <c r="Y1735" s="6"/>
      <c r="Z1735" s="6"/>
      <c r="AA1735" s="6" t="s">
        <v>339</v>
      </c>
      <c r="AB1735" s="8"/>
    </row>
    <row r="1736" spans="1:28" s="4" customFormat="1" ht="51.95" customHeight="1">
      <c r="A1736" s="5">
        <v>0</v>
      </c>
      <c r="B1736" s="6" t="s">
        <v>10024</v>
      </c>
      <c r="C1736" s="7">
        <v>1240.8</v>
      </c>
      <c r="D1736" s="8" t="s">
        <v>10025</v>
      </c>
      <c r="E1736" s="8" t="s">
        <v>10026</v>
      </c>
      <c r="F1736" s="8" t="s">
        <v>10027</v>
      </c>
      <c r="G1736" s="6" t="s">
        <v>38</v>
      </c>
      <c r="H1736" s="6" t="s">
        <v>39</v>
      </c>
      <c r="I1736" s="8" t="s">
        <v>40</v>
      </c>
      <c r="J1736" s="9">
        <v>1</v>
      </c>
      <c r="K1736" s="9">
        <v>199</v>
      </c>
      <c r="L1736" s="9">
        <v>2025</v>
      </c>
      <c r="M1736" s="8" t="s">
        <v>10028</v>
      </c>
      <c r="N1736" s="8" t="s">
        <v>42</v>
      </c>
      <c r="O1736" s="8" t="s">
        <v>101</v>
      </c>
      <c r="P1736" s="6" t="s">
        <v>44</v>
      </c>
      <c r="Q1736" s="8" t="s">
        <v>45</v>
      </c>
      <c r="R1736" s="10" t="s">
        <v>390</v>
      </c>
      <c r="S1736" s="11"/>
      <c r="T1736" s="6"/>
      <c r="U1736" s="24" t="str">
        <f>HYPERLINK("https://media.infra-m.ru/2206/2206556/cover/2206556.jpg", "Обложка")</f>
        <v>Обложка</v>
      </c>
      <c r="V1736" s="24" t="str">
        <f>HYPERLINK("https://znanium.ru/catalog/product/2122908", "Ознакомиться")</f>
        <v>Ознакомиться</v>
      </c>
      <c r="W1736" s="8" t="s">
        <v>10029</v>
      </c>
      <c r="X1736" s="6"/>
      <c r="Y1736" s="6"/>
      <c r="Z1736" s="6"/>
      <c r="AA1736" s="6" t="s">
        <v>58</v>
      </c>
      <c r="AB1736" s="8"/>
    </row>
    <row r="1737" spans="1:28" s="4" customFormat="1" ht="51.95" customHeight="1">
      <c r="A1737" s="5">
        <v>0</v>
      </c>
      <c r="B1737" s="6" t="s">
        <v>10030</v>
      </c>
      <c r="C1737" s="7">
        <v>1212</v>
      </c>
      <c r="D1737" s="8" t="s">
        <v>10031</v>
      </c>
      <c r="E1737" s="8" t="s">
        <v>10032</v>
      </c>
      <c r="F1737" s="8" t="s">
        <v>10033</v>
      </c>
      <c r="G1737" s="6" t="s">
        <v>38</v>
      </c>
      <c r="H1737" s="6" t="s">
        <v>39</v>
      </c>
      <c r="I1737" s="8" t="s">
        <v>40</v>
      </c>
      <c r="J1737" s="9">
        <v>1</v>
      </c>
      <c r="K1737" s="9">
        <v>235</v>
      </c>
      <c r="L1737" s="9">
        <v>2022</v>
      </c>
      <c r="M1737" s="8" t="s">
        <v>10034</v>
      </c>
      <c r="N1737" s="8" t="s">
        <v>284</v>
      </c>
      <c r="O1737" s="8" t="s">
        <v>717</v>
      </c>
      <c r="P1737" s="6" t="s">
        <v>44</v>
      </c>
      <c r="Q1737" s="8" t="s">
        <v>45</v>
      </c>
      <c r="R1737" s="10" t="s">
        <v>10035</v>
      </c>
      <c r="S1737" s="11"/>
      <c r="T1737" s="6"/>
      <c r="U1737" s="24" t="str">
        <f>HYPERLINK("https://media.infra-m.ru/1863/1863105/cover/1863105.jpg", "Обложка")</f>
        <v>Обложка</v>
      </c>
      <c r="V1737" s="24" t="str">
        <f>HYPERLINK("https://znanium.ru/catalog/product/1863105", "Ознакомиться")</f>
        <v>Ознакомиться</v>
      </c>
      <c r="W1737" s="8" t="s">
        <v>10036</v>
      </c>
      <c r="X1737" s="6"/>
      <c r="Y1737" s="6"/>
      <c r="Z1737" s="6"/>
      <c r="AA1737" s="6" t="s">
        <v>111</v>
      </c>
      <c r="AB1737" s="8"/>
    </row>
    <row r="1738" spans="1:28" s="4" customFormat="1" ht="51.95" customHeight="1">
      <c r="A1738" s="5">
        <v>0</v>
      </c>
      <c r="B1738" s="6" t="s">
        <v>10037</v>
      </c>
      <c r="C1738" s="13">
        <v>516</v>
      </c>
      <c r="D1738" s="8" t="s">
        <v>10038</v>
      </c>
      <c r="E1738" s="8" t="s">
        <v>10039</v>
      </c>
      <c r="F1738" s="8" t="s">
        <v>10040</v>
      </c>
      <c r="G1738" s="6" t="s">
        <v>38</v>
      </c>
      <c r="H1738" s="6" t="s">
        <v>39</v>
      </c>
      <c r="I1738" s="8" t="s">
        <v>40</v>
      </c>
      <c r="J1738" s="9">
        <v>1</v>
      </c>
      <c r="K1738" s="9">
        <v>76</v>
      </c>
      <c r="L1738" s="9">
        <v>2024</v>
      </c>
      <c r="M1738" s="8" t="s">
        <v>10041</v>
      </c>
      <c r="N1738" s="8" t="s">
        <v>229</v>
      </c>
      <c r="O1738" s="8" t="s">
        <v>230</v>
      </c>
      <c r="P1738" s="6" t="s">
        <v>44</v>
      </c>
      <c r="Q1738" s="8" t="s">
        <v>45</v>
      </c>
      <c r="R1738" s="10" t="s">
        <v>10042</v>
      </c>
      <c r="S1738" s="11"/>
      <c r="T1738" s="6"/>
      <c r="U1738" s="24" t="str">
        <f>HYPERLINK("https://media.infra-m.ru/2147/2147707/cover/2147707.jpg", "Обложка")</f>
        <v>Обложка</v>
      </c>
      <c r="V1738" s="24" t="str">
        <f>HYPERLINK("https://znanium.ru/catalog/product/2147707", "Ознакомиться")</f>
        <v>Ознакомиться</v>
      </c>
      <c r="W1738" s="8" t="s">
        <v>354</v>
      </c>
      <c r="X1738" s="6"/>
      <c r="Y1738" s="6"/>
      <c r="Z1738" s="6"/>
      <c r="AA1738" s="6" t="s">
        <v>68</v>
      </c>
      <c r="AB1738" s="8"/>
    </row>
    <row r="1739" spans="1:28" s="4" customFormat="1" ht="42" customHeight="1">
      <c r="A1739" s="5">
        <v>0</v>
      </c>
      <c r="B1739" s="6" t="s">
        <v>10043</v>
      </c>
      <c r="C1739" s="7">
        <v>1188</v>
      </c>
      <c r="D1739" s="8" t="s">
        <v>10044</v>
      </c>
      <c r="E1739" s="8" t="s">
        <v>10045</v>
      </c>
      <c r="F1739" s="8" t="s">
        <v>10046</v>
      </c>
      <c r="G1739" s="6" t="s">
        <v>132</v>
      </c>
      <c r="H1739" s="6" t="s">
        <v>39</v>
      </c>
      <c r="I1739" s="8" t="s">
        <v>40</v>
      </c>
      <c r="J1739" s="9">
        <v>1</v>
      </c>
      <c r="K1739" s="9">
        <v>184</v>
      </c>
      <c r="L1739" s="9">
        <v>2025</v>
      </c>
      <c r="M1739" s="8" t="s">
        <v>10047</v>
      </c>
      <c r="N1739" s="8" t="s">
        <v>229</v>
      </c>
      <c r="O1739" s="8" t="s">
        <v>230</v>
      </c>
      <c r="P1739" s="6" t="s">
        <v>44</v>
      </c>
      <c r="Q1739" s="8" t="s">
        <v>45</v>
      </c>
      <c r="R1739" s="10" t="s">
        <v>10048</v>
      </c>
      <c r="S1739" s="11"/>
      <c r="T1739" s="6"/>
      <c r="U1739" s="24" t="str">
        <f>HYPERLINK("https://media.infra-m.ru/2180/2180635/cover/2180635.jpg", "Обложка")</f>
        <v>Обложка</v>
      </c>
      <c r="V1739" s="24" t="str">
        <f>HYPERLINK("https://znanium.ru/catalog/product/2180635", "Ознакомиться")</f>
        <v>Ознакомиться</v>
      </c>
      <c r="W1739" s="8" t="s">
        <v>1735</v>
      </c>
      <c r="X1739" s="6" t="s">
        <v>306</v>
      </c>
      <c r="Y1739" s="6"/>
      <c r="Z1739" s="6"/>
      <c r="AA1739" s="6" t="s">
        <v>159</v>
      </c>
      <c r="AB1739" s="8"/>
    </row>
    <row r="1740" spans="1:28" s="4" customFormat="1" ht="51.95" customHeight="1">
      <c r="A1740" s="5">
        <v>0</v>
      </c>
      <c r="B1740" s="6" t="s">
        <v>10049</v>
      </c>
      <c r="C1740" s="7">
        <v>1572</v>
      </c>
      <c r="D1740" s="8" t="s">
        <v>10050</v>
      </c>
      <c r="E1740" s="8" t="s">
        <v>10051</v>
      </c>
      <c r="F1740" s="8" t="s">
        <v>10052</v>
      </c>
      <c r="G1740" s="6" t="s">
        <v>81</v>
      </c>
      <c r="H1740" s="6" t="s">
        <v>1019</v>
      </c>
      <c r="I1740" s="8"/>
      <c r="J1740" s="9">
        <v>1</v>
      </c>
      <c r="K1740" s="9">
        <v>252</v>
      </c>
      <c r="L1740" s="9">
        <v>2025</v>
      </c>
      <c r="M1740" s="8" t="s">
        <v>10053</v>
      </c>
      <c r="N1740" s="8" t="s">
        <v>284</v>
      </c>
      <c r="O1740" s="8" t="s">
        <v>717</v>
      </c>
      <c r="P1740" s="6" t="s">
        <v>44</v>
      </c>
      <c r="Q1740" s="8" t="s">
        <v>287</v>
      </c>
      <c r="R1740" s="10" t="s">
        <v>10054</v>
      </c>
      <c r="S1740" s="11" t="s">
        <v>10055</v>
      </c>
      <c r="T1740" s="6"/>
      <c r="U1740" s="24" t="str">
        <f>HYPERLINK("https://media.infra-m.ru/2143/2143231/cover/2143231.jpg", "Обложка")</f>
        <v>Обложка</v>
      </c>
      <c r="V1740" s="24" t="str">
        <f>HYPERLINK("https://znanium.ru/catalog/product/2143231", "Ознакомиться")</f>
        <v>Ознакомиться</v>
      </c>
      <c r="W1740" s="8" t="s">
        <v>971</v>
      </c>
      <c r="X1740" s="6"/>
      <c r="Y1740" s="6"/>
      <c r="Z1740" s="6"/>
      <c r="AA1740" s="6" t="s">
        <v>94</v>
      </c>
      <c r="AB1740" s="8"/>
    </row>
    <row r="1741" spans="1:28" s="4" customFormat="1" ht="44.1" customHeight="1">
      <c r="A1741" s="5">
        <v>0</v>
      </c>
      <c r="B1741" s="6" t="s">
        <v>10056</v>
      </c>
      <c r="C1741" s="13">
        <v>948</v>
      </c>
      <c r="D1741" s="8" t="s">
        <v>10057</v>
      </c>
      <c r="E1741" s="8" t="s">
        <v>10058</v>
      </c>
      <c r="F1741" s="8" t="s">
        <v>10059</v>
      </c>
      <c r="G1741" s="6" t="s">
        <v>38</v>
      </c>
      <c r="H1741" s="6" t="s">
        <v>39</v>
      </c>
      <c r="I1741" s="8" t="s">
        <v>40</v>
      </c>
      <c r="J1741" s="9">
        <v>1</v>
      </c>
      <c r="K1741" s="9">
        <v>174</v>
      </c>
      <c r="L1741" s="9">
        <v>2023</v>
      </c>
      <c r="M1741" s="8" t="s">
        <v>10060</v>
      </c>
      <c r="N1741" s="8" t="s">
        <v>284</v>
      </c>
      <c r="O1741" s="8" t="s">
        <v>717</v>
      </c>
      <c r="P1741" s="6" t="s">
        <v>44</v>
      </c>
      <c r="Q1741" s="8" t="s">
        <v>45</v>
      </c>
      <c r="R1741" s="10" t="s">
        <v>7917</v>
      </c>
      <c r="S1741" s="11"/>
      <c r="T1741" s="6"/>
      <c r="U1741" s="24" t="str">
        <f>HYPERLINK("https://media.infra-m.ru/2038/2038326/cover/2038326.jpg", "Обложка")</f>
        <v>Обложка</v>
      </c>
      <c r="V1741" s="24" t="str">
        <f>HYPERLINK("https://znanium.ru/catalog/product/2038326", "Ознакомиться")</f>
        <v>Ознакомиться</v>
      </c>
      <c r="W1741" s="8" t="s">
        <v>971</v>
      </c>
      <c r="X1741" s="6"/>
      <c r="Y1741" s="6"/>
      <c r="Z1741" s="6"/>
      <c r="AA1741" s="6" t="s">
        <v>48</v>
      </c>
      <c r="AB1741" s="8"/>
    </row>
    <row r="1742" spans="1:28" s="4" customFormat="1" ht="42" customHeight="1">
      <c r="A1742" s="5">
        <v>0</v>
      </c>
      <c r="B1742" s="6" t="s">
        <v>10061</v>
      </c>
      <c r="C1742" s="7">
        <v>2758.8</v>
      </c>
      <c r="D1742" s="8" t="s">
        <v>10062</v>
      </c>
      <c r="E1742" s="8" t="s">
        <v>10063</v>
      </c>
      <c r="F1742" s="8"/>
      <c r="G1742" s="6" t="s">
        <v>38</v>
      </c>
      <c r="H1742" s="6" t="s">
        <v>39</v>
      </c>
      <c r="I1742" s="8"/>
      <c r="J1742" s="9">
        <v>1</v>
      </c>
      <c r="K1742" s="9">
        <v>44</v>
      </c>
      <c r="L1742" s="9">
        <v>2024</v>
      </c>
      <c r="M1742" s="8"/>
      <c r="N1742" s="8" t="s">
        <v>229</v>
      </c>
      <c r="O1742" s="8" t="s">
        <v>230</v>
      </c>
      <c r="P1742" s="6" t="s">
        <v>183</v>
      </c>
      <c r="Q1742" s="8"/>
      <c r="R1742" s="10"/>
      <c r="S1742" s="11"/>
      <c r="T1742" s="6"/>
      <c r="U1742" s="24" t="str">
        <f>HYPERLINK("https://media.infra-m.ru/2081/2081592/cover/2081592.jpg", "Обложка")</f>
        <v>Обложка</v>
      </c>
      <c r="V1742" s="24" t="str">
        <f>HYPERLINK("https://znanium.ru/catalog/product/2174162", "Ознакомиться")</f>
        <v>Ознакомиться</v>
      </c>
      <c r="W1742" s="8"/>
      <c r="X1742" s="6"/>
      <c r="Y1742" s="6"/>
      <c r="Z1742" s="6"/>
      <c r="AA1742" s="6" t="s">
        <v>127</v>
      </c>
      <c r="AB1742" s="8"/>
    </row>
    <row r="1743" spans="1:28" s="4" customFormat="1" ht="42" customHeight="1">
      <c r="A1743" s="5">
        <v>0</v>
      </c>
      <c r="B1743" s="6" t="s">
        <v>10064</v>
      </c>
      <c r="C1743" s="7">
        <v>2758.8</v>
      </c>
      <c r="D1743" s="8" t="s">
        <v>10065</v>
      </c>
      <c r="E1743" s="8" t="s">
        <v>10066</v>
      </c>
      <c r="F1743" s="8"/>
      <c r="G1743" s="6" t="s">
        <v>38</v>
      </c>
      <c r="H1743" s="6" t="s">
        <v>39</v>
      </c>
      <c r="I1743" s="8"/>
      <c r="J1743" s="9">
        <v>1</v>
      </c>
      <c r="K1743" s="9">
        <v>50</v>
      </c>
      <c r="L1743" s="9">
        <v>2025</v>
      </c>
      <c r="M1743" s="8"/>
      <c r="N1743" s="8" t="s">
        <v>229</v>
      </c>
      <c r="O1743" s="8" t="s">
        <v>230</v>
      </c>
      <c r="P1743" s="6" t="s">
        <v>183</v>
      </c>
      <c r="Q1743" s="8"/>
      <c r="R1743" s="10"/>
      <c r="S1743" s="11"/>
      <c r="T1743" s="6"/>
      <c r="U1743" s="24" t="str">
        <f>HYPERLINK("https://media.infra-m.ru/2174/2174162/cover/2174162.jpg", "Обложка")</f>
        <v>Обложка</v>
      </c>
      <c r="V1743" s="24" t="str">
        <f>HYPERLINK("https://znanium.ru/catalog/product/2174162", "Ознакомиться")</f>
        <v>Ознакомиться</v>
      </c>
      <c r="W1743" s="8"/>
      <c r="X1743" s="6" t="s">
        <v>838</v>
      </c>
      <c r="Y1743" s="6"/>
      <c r="Z1743" s="6"/>
      <c r="AA1743" s="6" t="s">
        <v>6928</v>
      </c>
      <c r="AB1743" s="8"/>
    </row>
    <row r="1744" spans="1:28" s="4" customFormat="1" ht="51.95" customHeight="1">
      <c r="A1744" s="5">
        <v>0</v>
      </c>
      <c r="B1744" s="6" t="s">
        <v>10067</v>
      </c>
      <c r="C1744" s="13">
        <v>708</v>
      </c>
      <c r="D1744" s="8" t="s">
        <v>10068</v>
      </c>
      <c r="E1744" s="8" t="s">
        <v>10069</v>
      </c>
      <c r="F1744" s="8" t="s">
        <v>10070</v>
      </c>
      <c r="G1744" s="6" t="s">
        <v>38</v>
      </c>
      <c r="H1744" s="6" t="s">
        <v>39</v>
      </c>
      <c r="I1744" s="8" t="s">
        <v>40</v>
      </c>
      <c r="J1744" s="9">
        <v>1</v>
      </c>
      <c r="K1744" s="9">
        <v>128</v>
      </c>
      <c r="L1744" s="9">
        <v>2024</v>
      </c>
      <c r="M1744" s="8" t="s">
        <v>10071</v>
      </c>
      <c r="N1744" s="8" t="s">
        <v>54</v>
      </c>
      <c r="O1744" s="8" t="s">
        <v>91</v>
      </c>
      <c r="P1744" s="6" t="s">
        <v>44</v>
      </c>
      <c r="Q1744" s="8" t="s">
        <v>45</v>
      </c>
      <c r="R1744" s="10" t="s">
        <v>10072</v>
      </c>
      <c r="S1744" s="11"/>
      <c r="T1744" s="6"/>
      <c r="U1744" s="24" t="str">
        <f>HYPERLINK("https://media.infra-m.ru/2084/2084532/cover/2084532.jpg", "Обложка")</f>
        <v>Обложка</v>
      </c>
      <c r="V1744" s="24" t="str">
        <f>HYPERLINK("https://znanium.ru/catalog/product/2084532", "Ознакомиться")</f>
        <v>Ознакомиться</v>
      </c>
      <c r="W1744" s="8" t="s">
        <v>2080</v>
      </c>
      <c r="X1744" s="6"/>
      <c r="Y1744" s="6"/>
      <c r="Z1744" s="6"/>
      <c r="AA1744" s="6" t="s">
        <v>127</v>
      </c>
      <c r="AB1744" s="8"/>
    </row>
    <row r="1745" spans="1:28" s="4" customFormat="1" ht="51.95" customHeight="1">
      <c r="A1745" s="5">
        <v>0</v>
      </c>
      <c r="B1745" s="6" t="s">
        <v>10073</v>
      </c>
      <c r="C1745" s="7">
        <v>1740</v>
      </c>
      <c r="D1745" s="8" t="s">
        <v>10074</v>
      </c>
      <c r="E1745" s="8" t="s">
        <v>10075</v>
      </c>
      <c r="F1745" s="8" t="s">
        <v>10076</v>
      </c>
      <c r="G1745" s="6" t="s">
        <v>132</v>
      </c>
      <c r="H1745" s="6" t="s">
        <v>39</v>
      </c>
      <c r="I1745" s="8" t="s">
        <v>40</v>
      </c>
      <c r="J1745" s="9">
        <v>1</v>
      </c>
      <c r="K1745" s="9">
        <v>249</v>
      </c>
      <c r="L1745" s="9">
        <v>2024</v>
      </c>
      <c r="M1745" s="8" t="s">
        <v>10077</v>
      </c>
      <c r="N1745" s="8" t="s">
        <v>284</v>
      </c>
      <c r="O1745" s="8" t="s">
        <v>285</v>
      </c>
      <c r="P1745" s="6" t="s">
        <v>44</v>
      </c>
      <c r="Q1745" s="8" t="s">
        <v>45</v>
      </c>
      <c r="R1745" s="10" t="s">
        <v>10078</v>
      </c>
      <c r="S1745" s="11"/>
      <c r="T1745" s="6"/>
      <c r="U1745" s="24" t="str">
        <f>HYPERLINK("https://media.infra-m.ru/2048/2048109/cover/2048109.jpg", "Обложка")</f>
        <v>Обложка</v>
      </c>
      <c r="V1745" s="24" t="str">
        <f>HYPERLINK("https://znanium.ru/catalog/product/2048109", "Ознакомиться")</f>
        <v>Ознакомиться</v>
      </c>
      <c r="W1745" s="8" t="s">
        <v>10079</v>
      </c>
      <c r="X1745" s="6"/>
      <c r="Y1745" s="6"/>
      <c r="Z1745" s="6"/>
      <c r="AA1745" s="6" t="s">
        <v>58</v>
      </c>
      <c r="AB1745" s="8"/>
    </row>
    <row r="1746" spans="1:28" s="4" customFormat="1" ht="42" customHeight="1">
      <c r="A1746" s="5">
        <v>0</v>
      </c>
      <c r="B1746" s="6" t="s">
        <v>10080</v>
      </c>
      <c r="C1746" s="7">
        <v>1456.8</v>
      </c>
      <c r="D1746" s="8" t="s">
        <v>10081</v>
      </c>
      <c r="E1746" s="8" t="s">
        <v>10082</v>
      </c>
      <c r="F1746" s="8" t="s">
        <v>10083</v>
      </c>
      <c r="G1746" s="6" t="s">
        <v>81</v>
      </c>
      <c r="H1746" s="6" t="s">
        <v>39</v>
      </c>
      <c r="I1746" s="8" t="s">
        <v>40</v>
      </c>
      <c r="J1746" s="9">
        <v>1</v>
      </c>
      <c r="K1746" s="9">
        <v>258</v>
      </c>
      <c r="L1746" s="9">
        <v>2024</v>
      </c>
      <c r="M1746" s="8" t="s">
        <v>10084</v>
      </c>
      <c r="N1746" s="8" t="s">
        <v>284</v>
      </c>
      <c r="O1746" s="8" t="s">
        <v>2265</v>
      </c>
      <c r="P1746" s="6" t="s">
        <v>44</v>
      </c>
      <c r="Q1746" s="8" t="s">
        <v>45</v>
      </c>
      <c r="R1746" s="10" t="s">
        <v>2983</v>
      </c>
      <c r="S1746" s="11"/>
      <c r="T1746" s="6"/>
      <c r="U1746" s="24" t="str">
        <f>HYPERLINK("https://media.infra-m.ru/2152/2152118/cover/2152118.jpg", "Обложка")</f>
        <v>Обложка</v>
      </c>
      <c r="V1746" s="24" t="str">
        <f>HYPERLINK("https://znanium.ru/catalog/product/1039245", "Ознакомиться")</f>
        <v>Ознакомиться</v>
      </c>
      <c r="W1746" s="8" t="s">
        <v>2991</v>
      </c>
      <c r="X1746" s="6"/>
      <c r="Y1746" s="6"/>
      <c r="Z1746" s="6"/>
      <c r="AA1746" s="6" t="s">
        <v>68</v>
      </c>
      <c r="AB1746" s="8"/>
    </row>
    <row r="1747" spans="1:28" s="4" customFormat="1" ht="44.1" customHeight="1">
      <c r="A1747" s="5">
        <v>0</v>
      </c>
      <c r="B1747" s="6" t="s">
        <v>10085</v>
      </c>
      <c r="C1747" s="7">
        <v>1187.9000000000001</v>
      </c>
      <c r="D1747" s="8" t="s">
        <v>10086</v>
      </c>
      <c r="E1747" s="8" t="s">
        <v>10087</v>
      </c>
      <c r="F1747" s="8" t="s">
        <v>10088</v>
      </c>
      <c r="G1747" s="6" t="s">
        <v>38</v>
      </c>
      <c r="H1747" s="6" t="s">
        <v>571</v>
      </c>
      <c r="I1747" s="8"/>
      <c r="J1747" s="9">
        <v>1</v>
      </c>
      <c r="K1747" s="9">
        <v>204</v>
      </c>
      <c r="L1747" s="9">
        <v>2019</v>
      </c>
      <c r="M1747" s="8" t="s">
        <v>10089</v>
      </c>
      <c r="N1747" s="8" t="s">
        <v>42</v>
      </c>
      <c r="O1747" s="8" t="s">
        <v>189</v>
      </c>
      <c r="P1747" s="6" t="s">
        <v>44</v>
      </c>
      <c r="Q1747" s="8" t="s">
        <v>45</v>
      </c>
      <c r="R1747" s="10" t="s">
        <v>10090</v>
      </c>
      <c r="S1747" s="11"/>
      <c r="T1747" s="6"/>
      <c r="U1747" s="12"/>
      <c r="V1747" s="12"/>
      <c r="W1747" s="8" t="s">
        <v>191</v>
      </c>
      <c r="X1747" s="6"/>
      <c r="Y1747" s="6"/>
      <c r="Z1747" s="6"/>
      <c r="AA1747" s="6" t="s">
        <v>76</v>
      </c>
      <c r="AB1747" s="8"/>
    </row>
    <row r="1748" spans="1:28" s="4" customFormat="1" ht="44.1" customHeight="1">
      <c r="A1748" s="5">
        <v>0</v>
      </c>
      <c r="B1748" s="6" t="s">
        <v>10091</v>
      </c>
      <c r="C1748" s="7">
        <v>2416.8000000000002</v>
      </c>
      <c r="D1748" s="8" t="s">
        <v>10092</v>
      </c>
      <c r="E1748" s="8" t="s">
        <v>10093</v>
      </c>
      <c r="F1748" s="8" t="s">
        <v>10094</v>
      </c>
      <c r="G1748" s="6" t="s">
        <v>81</v>
      </c>
      <c r="H1748" s="6" t="s">
        <v>39</v>
      </c>
      <c r="I1748" s="8" t="s">
        <v>1055</v>
      </c>
      <c r="J1748" s="9">
        <v>1</v>
      </c>
      <c r="K1748" s="9">
        <v>378</v>
      </c>
      <c r="L1748" s="9">
        <v>2025</v>
      </c>
      <c r="M1748" s="8" t="s">
        <v>10095</v>
      </c>
      <c r="N1748" s="8" t="s">
        <v>54</v>
      </c>
      <c r="O1748" s="8" t="s">
        <v>117</v>
      </c>
      <c r="P1748" s="6" t="s">
        <v>1057</v>
      </c>
      <c r="Q1748" s="8"/>
      <c r="R1748" s="10" t="s">
        <v>10096</v>
      </c>
      <c r="S1748" s="11"/>
      <c r="T1748" s="6"/>
      <c r="U1748" s="24" t="str">
        <f>HYPERLINK("https://media.infra-m.ru/2213/2213133/cover/2213133.jpg", "Обложка")</f>
        <v>Обложка</v>
      </c>
      <c r="V1748" s="24" t="str">
        <f>HYPERLINK("https://znanium.ru/catalog/product/2213132", "Ознакомиться")</f>
        <v>Ознакомиться</v>
      </c>
      <c r="W1748" s="8" t="s">
        <v>4165</v>
      </c>
      <c r="X1748" s="6"/>
      <c r="Y1748" s="6"/>
      <c r="Z1748" s="6"/>
      <c r="AA1748" s="6" t="s">
        <v>159</v>
      </c>
      <c r="AB1748" s="8"/>
    </row>
    <row r="1749" spans="1:28" s="4" customFormat="1" ht="51.95" customHeight="1">
      <c r="A1749" s="5">
        <v>0</v>
      </c>
      <c r="B1749" s="6" t="s">
        <v>10097</v>
      </c>
      <c r="C1749" s="7">
        <v>1140</v>
      </c>
      <c r="D1749" s="8" t="s">
        <v>10098</v>
      </c>
      <c r="E1749" s="8" t="s">
        <v>10099</v>
      </c>
      <c r="F1749" s="8" t="s">
        <v>10100</v>
      </c>
      <c r="G1749" s="6" t="s">
        <v>38</v>
      </c>
      <c r="H1749" s="6" t="s">
        <v>39</v>
      </c>
      <c r="I1749" s="8" t="s">
        <v>40</v>
      </c>
      <c r="J1749" s="9">
        <v>1</v>
      </c>
      <c r="K1749" s="9">
        <v>136</v>
      </c>
      <c r="L1749" s="9">
        <v>2026</v>
      </c>
      <c r="M1749" s="8" t="s">
        <v>10101</v>
      </c>
      <c r="N1749" s="8" t="s">
        <v>54</v>
      </c>
      <c r="O1749" s="8" t="s">
        <v>117</v>
      </c>
      <c r="P1749" s="6" t="s">
        <v>44</v>
      </c>
      <c r="Q1749" s="8" t="s">
        <v>45</v>
      </c>
      <c r="R1749" s="10" t="s">
        <v>10102</v>
      </c>
      <c r="S1749" s="11"/>
      <c r="T1749" s="6"/>
      <c r="U1749" s="24" t="str">
        <f>HYPERLINK("https://media.infra-m.ru/2227/2227050/cover/2227050.jpg", "Обложка")</f>
        <v>Обложка</v>
      </c>
      <c r="V1749" s="24" t="str">
        <f>HYPERLINK("https://znanium.ru/catalog/product/2227050", "Ознакомиться")</f>
        <v>Ознакомиться</v>
      </c>
      <c r="W1749" s="8" t="s">
        <v>2131</v>
      </c>
      <c r="X1749" s="6"/>
      <c r="Y1749" s="6"/>
      <c r="Z1749" s="6"/>
      <c r="AA1749" s="6" t="s">
        <v>159</v>
      </c>
      <c r="AB1749" s="8"/>
    </row>
    <row r="1750" spans="1:28" s="4" customFormat="1" ht="42" customHeight="1">
      <c r="A1750" s="5">
        <v>0</v>
      </c>
      <c r="B1750" s="6" t="s">
        <v>10103</v>
      </c>
      <c r="C1750" s="7">
        <v>2476.8000000000002</v>
      </c>
      <c r="D1750" s="8" t="s">
        <v>10104</v>
      </c>
      <c r="E1750" s="8" t="s">
        <v>10105</v>
      </c>
      <c r="F1750" s="8" t="s">
        <v>10106</v>
      </c>
      <c r="G1750" s="6" t="s">
        <v>132</v>
      </c>
      <c r="H1750" s="6" t="s">
        <v>3369</v>
      </c>
      <c r="I1750" s="8" t="s">
        <v>40</v>
      </c>
      <c r="J1750" s="9">
        <v>1</v>
      </c>
      <c r="K1750" s="9">
        <v>413</v>
      </c>
      <c r="L1750" s="9">
        <v>2025</v>
      </c>
      <c r="M1750" s="8" t="s">
        <v>10107</v>
      </c>
      <c r="N1750" s="8" t="s">
        <v>42</v>
      </c>
      <c r="O1750" s="8" t="s">
        <v>189</v>
      </c>
      <c r="P1750" s="6" t="s">
        <v>44</v>
      </c>
      <c r="Q1750" s="8" t="s">
        <v>45</v>
      </c>
      <c r="R1750" s="10" t="s">
        <v>573</v>
      </c>
      <c r="S1750" s="11"/>
      <c r="T1750" s="6"/>
      <c r="U1750" s="24" t="str">
        <f>HYPERLINK("https://media.infra-m.ru/2161/2161381/cover/2161381.jpg", "Обложка")</f>
        <v>Обложка</v>
      </c>
      <c r="V1750" s="24" t="str">
        <f>HYPERLINK("https://znanium.ru/catalog/product/1836618", "Ознакомиться")</f>
        <v>Ознакомиться</v>
      </c>
      <c r="W1750" s="8" t="s">
        <v>1929</v>
      </c>
      <c r="X1750" s="6"/>
      <c r="Y1750" s="6"/>
      <c r="Z1750" s="6"/>
      <c r="AA1750" s="6" t="s">
        <v>241</v>
      </c>
      <c r="AB1750" s="8"/>
    </row>
    <row r="1751" spans="1:28" s="4" customFormat="1" ht="42" customHeight="1">
      <c r="A1751" s="5">
        <v>0</v>
      </c>
      <c r="B1751" s="6" t="s">
        <v>10108</v>
      </c>
      <c r="C1751" s="7">
        <v>1836</v>
      </c>
      <c r="D1751" s="8" t="s">
        <v>10109</v>
      </c>
      <c r="E1751" s="8" t="s">
        <v>10110</v>
      </c>
      <c r="F1751" s="8" t="s">
        <v>7670</v>
      </c>
      <c r="G1751" s="6" t="s">
        <v>81</v>
      </c>
      <c r="H1751" s="6" t="s">
        <v>39</v>
      </c>
      <c r="I1751" s="8" t="s">
        <v>40</v>
      </c>
      <c r="J1751" s="9">
        <v>1</v>
      </c>
      <c r="K1751" s="9">
        <v>306</v>
      </c>
      <c r="L1751" s="9">
        <v>2025</v>
      </c>
      <c r="M1751" s="8" t="s">
        <v>10111</v>
      </c>
      <c r="N1751" s="8" t="s">
        <v>54</v>
      </c>
      <c r="O1751" s="8" t="s">
        <v>117</v>
      </c>
      <c r="P1751" s="6" t="s">
        <v>44</v>
      </c>
      <c r="Q1751" s="8" t="s">
        <v>45</v>
      </c>
      <c r="R1751" s="10" t="s">
        <v>10112</v>
      </c>
      <c r="S1751" s="11"/>
      <c r="T1751" s="6"/>
      <c r="U1751" s="24" t="str">
        <f>HYPERLINK("https://media.infra-m.ru/2159/2159171/cover/2159171.jpg", "Обложка")</f>
        <v>Обложка</v>
      </c>
      <c r="V1751" s="24" t="str">
        <f>HYPERLINK("https://znanium.ru/catalog/product/2159171", "Ознакомиться")</f>
        <v>Ознакомиться</v>
      </c>
      <c r="W1751" s="8" t="s">
        <v>846</v>
      </c>
      <c r="X1751" s="6"/>
      <c r="Y1751" s="6"/>
      <c r="Z1751" s="6"/>
      <c r="AA1751" s="6" t="s">
        <v>536</v>
      </c>
      <c r="AB1751" s="8"/>
    </row>
    <row r="1752" spans="1:28" s="4" customFormat="1" ht="42" customHeight="1">
      <c r="A1752" s="5">
        <v>0</v>
      </c>
      <c r="B1752" s="6" t="s">
        <v>10113</v>
      </c>
      <c r="C1752" s="7">
        <v>1224</v>
      </c>
      <c r="D1752" s="8" t="s">
        <v>10114</v>
      </c>
      <c r="E1752" s="8" t="s">
        <v>10115</v>
      </c>
      <c r="F1752" s="8" t="s">
        <v>7670</v>
      </c>
      <c r="G1752" s="6" t="s">
        <v>81</v>
      </c>
      <c r="H1752" s="6" t="s">
        <v>39</v>
      </c>
      <c r="I1752" s="8" t="s">
        <v>40</v>
      </c>
      <c r="J1752" s="9">
        <v>1</v>
      </c>
      <c r="K1752" s="9">
        <v>262</v>
      </c>
      <c r="L1752" s="9">
        <v>2022</v>
      </c>
      <c r="M1752" s="8" t="s">
        <v>10116</v>
      </c>
      <c r="N1752" s="8" t="s">
        <v>54</v>
      </c>
      <c r="O1752" s="8" t="s">
        <v>117</v>
      </c>
      <c r="P1752" s="6" t="s">
        <v>44</v>
      </c>
      <c r="Q1752" s="8" t="s">
        <v>45</v>
      </c>
      <c r="R1752" s="10" t="s">
        <v>2706</v>
      </c>
      <c r="S1752" s="11"/>
      <c r="T1752" s="6"/>
      <c r="U1752" s="24" t="str">
        <f>HYPERLINK("https://media.infra-m.ru/1839/1839705/cover/1839705.jpg", "Обложка")</f>
        <v>Обложка</v>
      </c>
      <c r="V1752" s="24" t="str">
        <f>HYPERLINK("https://znanium.ru/catalog/product/1839705", "Ознакомиться")</f>
        <v>Ознакомиться</v>
      </c>
      <c r="W1752" s="8" t="s">
        <v>846</v>
      </c>
      <c r="X1752" s="6"/>
      <c r="Y1752" s="6"/>
      <c r="Z1752" s="6"/>
      <c r="AA1752" s="6" t="s">
        <v>377</v>
      </c>
      <c r="AB1752" s="8"/>
    </row>
    <row r="1753" spans="1:28" s="4" customFormat="1" ht="42" customHeight="1">
      <c r="A1753" s="5">
        <v>0</v>
      </c>
      <c r="B1753" s="6" t="s">
        <v>10117</v>
      </c>
      <c r="C1753" s="7">
        <v>1080</v>
      </c>
      <c r="D1753" s="8" t="s">
        <v>10118</v>
      </c>
      <c r="E1753" s="8" t="s">
        <v>10119</v>
      </c>
      <c r="F1753" s="8" t="s">
        <v>10120</v>
      </c>
      <c r="G1753" s="6" t="s">
        <v>38</v>
      </c>
      <c r="H1753" s="6" t="s">
        <v>39</v>
      </c>
      <c r="I1753" s="8" t="s">
        <v>40</v>
      </c>
      <c r="J1753" s="9">
        <v>1</v>
      </c>
      <c r="K1753" s="9">
        <v>167</v>
      </c>
      <c r="L1753" s="9">
        <v>2025</v>
      </c>
      <c r="M1753" s="8" t="s">
        <v>10121</v>
      </c>
      <c r="N1753" s="8" t="s">
        <v>54</v>
      </c>
      <c r="O1753" s="8" t="s">
        <v>117</v>
      </c>
      <c r="P1753" s="6" t="s">
        <v>44</v>
      </c>
      <c r="Q1753" s="8" t="s">
        <v>45</v>
      </c>
      <c r="R1753" s="10" t="s">
        <v>10122</v>
      </c>
      <c r="S1753" s="11"/>
      <c r="T1753" s="6"/>
      <c r="U1753" s="24" t="str">
        <f>HYPERLINK("https://media.infra-m.ru/2188/2188421/cover/2188421.jpg", "Обложка")</f>
        <v>Обложка</v>
      </c>
      <c r="V1753" s="24" t="str">
        <f>HYPERLINK("https://znanium.ru/catalog/product/2188421", "Ознакомиться")</f>
        <v>Ознакомиться</v>
      </c>
      <c r="W1753" s="8" t="s">
        <v>10123</v>
      </c>
      <c r="X1753" s="6" t="s">
        <v>320</v>
      </c>
      <c r="Y1753" s="6"/>
      <c r="Z1753" s="6"/>
      <c r="AA1753" s="6" t="s">
        <v>159</v>
      </c>
      <c r="AB1753" s="8"/>
    </row>
    <row r="1754" spans="1:28" s="4" customFormat="1" ht="42" customHeight="1">
      <c r="A1754" s="5">
        <v>0</v>
      </c>
      <c r="B1754" s="6" t="s">
        <v>10124</v>
      </c>
      <c r="C1754" s="7">
        <v>1588.8</v>
      </c>
      <c r="D1754" s="8" t="s">
        <v>10125</v>
      </c>
      <c r="E1754" s="8" t="s">
        <v>10126</v>
      </c>
      <c r="F1754" s="8" t="s">
        <v>10127</v>
      </c>
      <c r="G1754" s="6" t="s">
        <v>81</v>
      </c>
      <c r="H1754" s="6" t="s">
        <v>326</v>
      </c>
      <c r="I1754" s="8" t="s">
        <v>1055</v>
      </c>
      <c r="J1754" s="9">
        <v>1</v>
      </c>
      <c r="K1754" s="9">
        <v>240</v>
      </c>
      <c r="L1754" s="9">
        <v>2026</v>
      </c>
      <c r="M1754" s="8" t="s">
        <v>10128</v>
      </c>
      <c r="N1754" s="8" t="s">
        <v>54</v>
      </c>
      <c r="O1754" s="8" t="s">
        <v>117</v>
      </c>
      <c r="P1754" s="6" t="s">
        <v>1057</v>
      </c>
      <c r="Q1754" s="8" t="s">
        <v>287</v>
      </c>
      <c r="R1754" s="10" t="s">
        <v>10129</v>
      </c>
      <c r="S1754" s="11"/>
      <c r="T1754" s="6"/>
      <c r="U1754" s="24" t="str">
        <f>HYPERLINK("https://media.infra-m.ru/2230/2230153/cover/2230153.jpg", "Обложка")</f>
        <v>Обложка</v>
      </c>
      <c r="V1754" s="24" t="str">
        <f>HYPERLINK("https://znanium.ru/catalog/product/2208431", "Ознакомиться")</f>
        <v>Ознакомиться</v>
      </c>
      <c r="W1754" s="8" t="s">
        <v>5109</v>
      </c>
      <c r="X1754" s="6"/>
      <c r="Y1754" s="6"/>
      <c r="Z1754" s="6"/>
      <c r="AA1754" s="6" t="s">
        <v>58</v>
      </c>
      <c r="AB1754" s="8"/>
    </row>
    <row r="1755" spans="1:28" s="4" customFormat="1" ht="51.95" customHeight="1">
      <c r="A1755" s="5">
        <v>0</v>
      </c>
      <c r="B1755" s="6" t="s">
        <v>10130</v>
      </c>
      <c r="C1755" s="7">
        <v>2056.8000000000002</v>
      </c>
      <c r="D1755" s="8" t="s">
        <v>10131</v>
      </c>
      <c r="E1755" s="8" t="s">
        <v>10132</v>
      </c>
      <c r="F1755" s="8" t="s">
        <v>2869</v>
      </c>
      <c r="G1755" s="6" t="s">
        <v>38</v>
      </c>
      <c r="H1755" s="6" t="s">
        <v>39</v>
      </c>
      <c r="I1755" s="8" t="s">
        <v>40</v>
      </c>
      <c r="J1755" s="9">
        <v>1</v>
      </c>
      <c r="K1755" s="9">
        <v>330</v>
      </c>
      <c r="L1755" s="9">
        <v>2025</v>
      </c>
      <c r="M1755" s="8" t="s">
        <v>10133</v>
      </c>
      <c r="N1755" s="8" t="s">
        <v>54</v>
      </c>
      <c r="O1755" s="8" t="s">
        <v>117</v>
      </c>
      <c r="P1755" s="6" t="s">
        <v>44</v>
      </c>
      <c r="Q1755" s="8" t="s">
        <v>45</v>
      </c>
      <c r="R1755" s="10" t="s">
        <v>10134</v>
      </c>
      <c r="S1755" s="11"/>
      <c r="T1755" s="6" t="s">
        <v>1080</v>
      </c>
      <c r="U1755" s="24" t="str">
        <f>HYPERLINK("https://media.infra-m.ru/2206/2206797/cover/2206797.jpg", "Обложка")</f>
        <v>Обложка</v>
      </c>
      <c r="V1755" s="24" t="str">
        <f>HYPERLINK("https://znanium.ru/catalog/product/1290960", "Ознакомиться")</f>
        <v>Ознакомиться</v>
      </c>
      <c r="W1755" s="8" t="s">
        <v>2872</v>
      </c>
      <c r="X1755" s="6"/>
      <c r="Y1755" s="6"/>
      <c r="Z1755" s="6"/>
      <c r="AA1755" s="6" t="s">
        <v>127</v>
      </c>
      <c r="AB1755" s="8"/>
    </row>
    <row r="1756" spans="1:28" s="4" customFormat="1" ht="44.1" customHeight="1">
      <c r="A1756" s="5">
        <v>0</v>
      </c>
      <c r="B1756" s="6" t="s">
        <v>10135</v>
      </c>
      <c r="C1756" s="13">
        <v>888</v>
      </c>
      <c r="D1756" s="8" t="s">
        <v>10136</v>
      </c>
      <c r="E1756" s="8" t="s">
        <v>10137</v>
      </c>
      <c r="F1756" s="8" t="s">
        <v>10138</v>
      </c>
      <c r="G1756" s="6" t="s">
        <v>38</v>
      </c>
      <c r="H1756" s="6" t="s">
        <v>326</v>
      </c>
      <c r="I1756" s="8"/>
      <c r="J1756" s="9">
        <v>1</v>
      </c>
      <c r="K1756" s="9">
        <v>159</v>
      </c>
      <c r="L1756" s="9">
        <v>2024</v>
      </c>
      <c r="M1756" s="8" t="s">
        <v>10139</v>
      </c>
      <c r="N1756" s="8" t="s">
        <v>54</v>
      </c>
      <c r="O1756" s="8" t="s">
        <v>117</v>
      </c>
      <c r="P1756" s="6" t="s">
        <v>44</v>
      </c>
      <c r="Q1756" s="8" t="s">
        <v>45</v>
      </c>
      <c r="R1756" s="10" t="s">
        <v>3106</v>
      </c>
      <c r="S1756" s="11"/>
      <c r="T1756" s="6"/>
      <c r="U1756" s="24" t="str">
        <f>HYPERLINK("https://media.infra-m.ru/2102/2102667/cover/2102667.jpg", "Обложка")</f>
        <v>Обложка</v>
      </c>
      <c r="V1756" s="24" t="str">
        <f>HYPERLINK("https://znanium.ru/catalog/product/2102667", "Ознакомиться")</f>
        <v>Ознакомиться</v>
      </c>
      <c r="W1756" s="8" t="s">
        <v>2707</v>
      </c>
      <c r="X1756" s="6"/>
      <c r="Y1756" s="6"/>
      <c r="Z1756" s="6"/>
      <c r="AA1756" s="6" t="s">
        <v>377</v>
      </c>
      <c r="AB1756" s="8"/>
    </row>
    <row r="1757" spans="1:28" s="4" customFormat="1" ht="44.1" customHeight="1">
      <c r="A1757" s="5">
        <v>0</v>
      </c>
      <c r="B1757" s="6" t="s">
        <v>10140</v>
      </c>
      <c r="C1757" s="7">
        <v>1368</v>
      </c>
      <c r="D1757" s="8" t="s">
        <v>10141</v>
      </c>
      <c r="E1757" s="8" t="s">
        <v>10142</v>
      </c>
      <c r="F1757" s="8" t="s">
        <v>10143</v>
      </c>
      <c r="G1757" s="6" t="s">
        <v>81</v>
      </c>
      <c r="H1757" s="6" t="s">
        <v>39</v>
      </c>
      <c r="I1757" s="8"/>
      <c r="J1757" s="9">
        <v>1</v>
      </c>
      <c r="K1757" s="9">
        <v>228</v>
      </c>
      <c r="L1757" s="9">
        <v>2025</v>
      </c>
      <c r="M1757" s="8" t="s">
        <v>10144</v>
      </c>
      <c r="N1757" s="8" t="s">
        <v>54</v>
      </c>
      <c r="O1757" s="8" t="s">
        <v>117</v>
      </c>
      <c r="P1757" s="6" t="s">
        <v>415</v>
      </c>
      <c r="Q1757" s="8" t="s">
        <v>416</v>
      </c>
      <c r="R1757" s="10" t="s">
        <v>10145</v>
      </c>
      <c r="S1757" s="11"/>
      <c r="T1757" s="6"/>
      <c r="U1757" s="24" t="str">
        <f>HYPERLINK("https://media.infra-m.ru/2159/2159184/cover/2159184.jpg", "Обложка")</f>
        <v>Обложка</v>
      </c>
      <c r="V1757" s="24" t="str">
        <f>HYPERLINK("https://znanium.ru/catalog/product/2159184", "Ознакомиться")</f>
        <v>Ознакомиться</v>
      </c>
      <c r="W1757" s="8" t="s">
        <v>2080</v>
      </c>
      <c r="X1757" s="6"/>
      <c r="Y1757" s="6"/>
      <c r="Z1757" s="6"/>
      <c r="AA1757" s="6" t="s">
        <v>536</v>
      </c>
      <c r="AB1757" s="8"/>
    </row>
    <row r="1758" spans="1:28" s="4" customFormat="1" ht="42" customHeight="1">
      <c r="A1758" s="5">
        <v>0</v>
      </c>
      <c r="B1758" s="6" t="s">
        <v>10146</v>
      </c>
      <c r="C1758" s="7">
        <v>1540.8</v>
      </c>
      <c r="D1758" s="8" t="s">
        <v>10147</v>
      </c>
      <c r="E1758" s="8" t="s">
        <v>10148</v>
      </c>
      <c r="F1758" s="8" t="s">
        <v>10149</v>
      </c>
      <c r="G1758" s="6" t="s">
        <v>132</v>
      </c>
      <c r="H1758" s="6" t="s">
        <v>39</v>
      </c>
      <c r="I1758" s="8" t="s">
        <v>40</v>
      </c>
      <c r="J1758" s="9">
        <v>1</v>
      </c>
      <c r="K1758" s="9">
        <v>256</v>
      </c>
      <c r="L1758" s="9">
        <v>2024</v>
      </c>
      <c r="M1758" s="8" t="s">
        <v>10150</v>
      </c>
      <c r="N1758" s="8" t="s">
        <v>229</v>
      </c>
      <c r="O1758" s="8" t="s">
        <v>230</v>
      </c>
      <c r="P1758" s="6" t="s">
        <v>44</v>
      </c>
      <c r="Q1758" s="8" t="s">
        <v>1058</v>
      </c>
      <c r="R1758" s="10" t="s">
        <v>10151</v>
      </c>
      <c r="S1758" s="11"/>
      <c r="T1758" s="6"/>
      <c r="U1758" s="24" t="str">
        <f>HYPERLINK("https://media.infra-m.ru/2115/2115272/cover/2115272.jpg", "Обложка")</f>
        <v>Обложка</v>
      </c>
      <c r="V1758" s="24" t="str">
        <f>HYPERLINK("https://znanium.ru/catalog/product/1858240", "Ознакомиться")</f>
        <v>Ознакомиться</v>
      </c>
      <c r="W1758" s="8" t="s">
        <v>2872</v>
      </c>
      <c r="X1758" s="6"/>
      <c r="Y1758" s="6"/>
      <c r="Z1758" s="6"/>
      <c r="AA1758" s="6" t="s">
        <v>369</v>
      </c>
      <c r="AB1758" s="8"/>
    </row>
    <row r="1759" spans="1:28" s="4" customFormat="1" ht="42" customHeight="1">
      <c r="A1759" s="5">
        <v>0</v>
      </c>
      <c r="B1759" s="6" t="s">
        <v>10152</v>
      </c>
      <c r="C1759" s="7">
        <v>1008</v>
      </c>
      <c r="D1759" s="8" t="s">
        <v>10153</v>
      </c>
      <c r="E1759" s="8" t="s">
        <v>10154</v>
      </c>
      <c r="F1759" s="8" t="s">
        <v>10155</v>
      </c>
      <c r="G1759" s="6" t="s">
        <v>38</v>
      </c>
      <c r="H1759" s="6" t="s">
        <v>39</v>
      </c>
      <c r="I1759" s="8" t="s">
        <v>40</v>
      </c>
      <c r="J1759" s="9">
        <v>1</v>
      </c>
      <c r="K1759" s="9">
        <v>215</v>
      </c>
      <c r="L1759" s="9">
        <v>2022</v>
      </c>
      <c r="M1759" s="8" t="s">
        <v>10156</v>
      </c>
      <c r="N1759" s="8" t="s">
        <v>229</v>
      </c>
      <c r="O1759" s="8" t="s">
        <v>230</v>
      </c>
      <c r="P1759" s="6" t="s">
        <v>44</v>
      </c>
      <c r="Q1759" s="8" t="s">
        <v>45</v>
      </c>
      <c r="R1759" s="10" t="s">
        <v>10157</v>
      </c>
      <c r="S1759" s="11"/>
      <c r="T1759" s="6"/>
      <c r="U1759" s="24" t="str">
        <f>HYPERLINK("https://media.infra-m.ru/1853/1853856/cover/1853856.jpg", "Обложка")</f>
        <v>Обложка</v>
      </c>
      <c r="V1759" s="24" t="str">
        <f>HYPERLINK("https://znanium.ru/catalog/product/1853856", "Ознакомиться")</f>
        <v>Ознакомиться</v>
      </c>
      <c r="W1759" s="8" t="s">
        <v>10158</v>
      </c>
      <c r="X1759" s="6"/>
      <c r="Y1759" s="6"/>
      <c r="Z1759" s="6"/>
      <c r="AA1759" s="6" t="s">
        <v>168</v>
      </c>
      <c r="AB1759" s="8"/>
    </row>
    <row r="1760" spans="1:28" s="4" customFormat="1" ht="44.1" customHeight="1">
      <c r="A1760" s="5">
        <v>0</v>
      </c>
      <c r="B1760" s="6" t="s">
        <v>10159</v>
      </c>
      <c r="C1760" s="7">
        <v>1156.8</v>
      </c>
      <c r="D1760" s="8" t="s">
        <v>10160</v>
      </c>
      <c r="E1760" s="8" t="s">
        <v>10161</v>
      </c>
      <c r="F1760" s="8" t="s">
        <v>10162</v>
      </c>
      <c r="G1760" s="6" t="s">
        <v>38</v>
      </c>
      <c r="H1760" s="6" t="s">
        <v>1019</v>
      </c>
      <c r="I1760" s="8" t="s">
        <v>1020</v>
      </c>
      <c r="J1760" s="9">
        <v>1</v>
      </c>
      <c r="K1760" s="9">
        <v>192</v>
      </c>
      <c r="L1760" s="9">
        <v>2025</v>
      </c>
      <c r="M1760" s="8" t="s">
        <v>10163</v>
      </c>
      <c r="N1760" s="8" t="s">
        <v>54</v>
      </c>
      <c r="O1760" s="8" t="s">
        <v>117</v>
      </c>
      <c r="P1760" s="6" t="s">
        <v>44</v>
      </c>
      <c r="Q1760" s="8" t="s">
        <v>45</v>
      </c>
      <c r="R1760" s="10" t="s">
        <v>2871</v>
      </c>
      <c r="S1760" s="11"/>
      <c r="T1760" s="6"/>
      <c r="U1760" s="24" t="str">
        <f>HYPERLINK("https://media.infra-m.ru/2180/2180554/cover/2180554.jpg", "Обложка")</f>
        <v>Обложка</v>
      </c>
      <c r="V1760" s="24" t="str">
        <f>HYPERLINK("https://znanium.ru/catalog/product/2180554", "Ознакомиться")</f>
        <v>Ознакомиться</v>
      </c>
      <c r="W1760" s="8" t="s">
        <v>593</v>
      </c>
      <c r="X1760" s="6"/>
      <c r="Y1760" s="6"/>
      <c r="Z1760" s="6"/>
      <c r="AA1760" s="6" t="s">
        <v>377</v>
      </c>
      <c r="AB1760" s="8"/>
    </row>
    <row r="1761" spans="1:28" s="4" customFormat="1" ht="44.1" customHeight="1">
      <c r="A1761" s="5">
        <v>0</v>
      </c>
      <c r="B1761" s="6" t="s">
        <v>10164</v>
      </c>
      <c r="C1761" s="7">
        <v>1608</v>
      </c>
      <c r="D1761" s="8" t="s">
        <v>10165</v>
      </c>
      <c r="E1761" s="8" t="s">
        <v>10166</v>
      </c>
      <c r="F1761" s="8" t="s">
        <v>10167</v>
      </c>
      <c r="G1761" s="6" t="s">
        <v>38</v>
      </c>
      <c r="H1761" s="6" t="s">
        <v>39</v>
      </c>
      <c r="I1761" s="8" t="s">
        <v>40</v>
      </c>
      <c r="J1761" s="9">
        <v>1</v>
      </c>
      <c r="K1761" s="9">
        <v>251</v>
      </c>
      <c r="L1761" s="9">
        <v>2026</v>
      </c>
      <c r="M1761" s="8" t="s">
        <v>10168</v>
      </c>
      <c r="N1761" s="8" t="s">
        <v>54</v>
      </c>
      <c r="O1761" s="8" t="s">
        <v>117</v>
      </c>
      <c r="P1761" s="6" t="s">
        <v>44</v>
      </c>
      <c r="Q1761" s="8" t="s">
        <v>45</v>
      </c>
      <c r="R1761" s="10" t="s">
        <v>10169</v>
      </c>
      <c r="S1761" s="11"/>
      <c r="T1761" s="6"/>
      <c r="U1761" s="24" t="str">
        <f>HYPERLINK("https://media.infra-m.ru/2221/2221550/cover/2221550.jpg", "Обложка")</f>
        <v>Обложка</v>
      </c>
      <c r="V1761" s="24" t="str">
        <f>HYPERLINK("https://znanium.ru/catalog/product/2221550", "Ознакомиться")</f>
        <v>Ознакомиться</v>
      </c>
      <c r="W1761" s="8" t="s">
        <v>10170</v>
      </c>
      <c r="X1761" s="6"/>
      <c r="Y1761" s="6"/>
      <c r="Z1761" s="6"/>
      <c r="AA1761" s="6" t="s">
        <v>199</v>
      </c>
      <c r="AB1761" s="8"/>
    </row>
    <row r="1762" spans="1:28" s="4" customFormat="1" ht="51.95" customHeight="1">
      <c r="A1762" s="5">
        <v>0</v>
      </c>
      <c r="B1762" s="6" t="s">
        <v>10171</v>
      </c>
      <c r="C1762" s="13">
        <v>756</v>
      </c>
      <c r="D1762" s="8" t="s">
        <v>10172</v>
      </c>
      <c r="E1762" s="8" t="s">
        <v>10173</v>
      </c>
      <c r="F1762" s="8" t="s">
        <v>10174</v>
      </c>
      <c r="G1762" s="6" t="s">
        <v>38</v>
      </c>
      <c r="H1762" s="6" t="s">
        <v>39</v>
      </c>
      <c r="I1762" s="8" t="s">
        <v>40</v>
      </c>
      <c r="J1762" s="9">
        <v>1</v>
      </c>
      <c r="K1762" s="9">
        <v>139</v>
      </c>
      <c r="L1762" s="9">
        <v>2019</v>
      </c>
      <c r="M1762" s="8" t="s">
        <v>10175</v>
      </c>
      <c r="N1762" s="8" t="s">
        <v>42</v>
      </c>
      <c r="O1762" s="8" t="s">
        <v>1035</v>
      </c>
      <c r="P1762" s="6" t="s">
        <v>44</v>
      </c>
      <c r="Q1762" s="8" t="s">
        <v>45</v>
      </c>
      <c r="R1762" s="10" t="s">
        <v>10176</v>
      </c>
      <c r="S1762" s="11"/>
      <c r="T1762" s="6"/>
      <c r="U1762" s="24" t="str">
        <f>HYPERLINK("https://media.infra-m.ru/1031/1031271/cover/1031271.jpg", "Обложка")</f>
        <v>Обложка</v>
      </c>
      <c r="V1762" s="24" t="str">
        <f>HYPERLINK("https://znanium.ru/catalog/product/1031271", "Ознакомиться")</f>
        <v>Ознакомиться</v>
      </c>
      <c r="W1762" s="8" t="s">
        <v>361</v>
      </c>
      <c r="X1762" s="6"/>
      <c r="Y1762" s="6"/>
      <c r="Z1762" s="6"/>
      <c r="AA1762" s="6" t="s">
        <v>369</v>
      </c>
      <c r="AB1762" s="8"/>
    </row>
    <row r="1763" spans="1:28" s="4" customFormat="1" ht="51.95" customHeight="1">
      <c r="A1763" s="5">
        <v>0</v>
      </c>
      <c r="B1763" s="6" t="s">
        <v>10177</v>
      </c>
      <c r="C1763" s="7">
        <v>2220</v>
      </c>
      <c r="D1763" s="8" t="s">
        <v>10178</v>
      </c>
      <c r="E1763" s="8" t="s">
        <v>10179</v>
      </c>
      <c r="F1763" s="8" t="s">
        <v>10180</v>
      </c>
      <c r="G1763" s="6" t="s">
        <v>81</v>
      </c>
      <c r="H1763" s="6" t="s">
        <v>39</v>
      </c>
      <c r="I1763" s="8" t="s">
        <v>40</v>
      </c>
      <c r="J1763" s="9">
        <v>1</v>
      </c>
      <c r="K1763" s="9">
        <v>356</v>
      </c>
      <c r="L1763" s="9">
        <v>2026</v>
      </c>
      <c r="M1763" s="8" t="s">
        <v>10181</v>
      </c>
      <c r="N1763" s="8" t="s">
        <v>54</v>
      </c>
      <c r="O1763" s="8" t="s">
        <v>117</v>
      </c>
      <c r="P1763" s="6" t="s">
        <v>44</v>
      </c>
      <c r="Q1763" s="8" t="s">
        <v>45</v>
      </c>
      <c r="R1763" s="10" t="s">
        <v>10182</v>
      </c>
      <c r="S1763" s="11"/>
      <c r="T1763" s="6"/>
      <c r="U1763" s="24" t="str">
        <f>HYPERLINK("https://media.infra-m.ru/2219/2219029/cover/2219029.jpg", "Обложка")</f>
        <v>Обложка</v>
      </c>
      <c r="V1763" s="24" t="str">
        <f>HYPERLINK("https://znanium.ru/catalog/product/2219029", "Ознакомиться")</f>
        <v>Ознакомиться</v>
      </c>
      <c r="W1763" s="8" t="s">
        <v>3163</v>
      </c>
      <c r="X1763" s="6"/>
      <c r="Y1763" s="6"/>
      <c r="Z1763" s="6"/>
      <c r="AA1763" s="6" t="s">
        <v>119</v>
      </c>
      <c r="AB1763" s="8" t="s">
        <v>1697</v>
      </c>
    </row>
    <row r="1764" spans="1:28" s="4" customFormat="1" ht="51.95" customHeight="1">
      <c r="A1764" s="5">
        <v>0</v>
      </c>
      <c r="B1764" s="6" t="s">
        <v>10183</v>
      </c>
      <c r="C1764" s="7">
        <v>2004</v>
      </c>
      <c r="D1764" s="8" t="s">
        <v>10184</v>
      </c>
      <c r="E1764" s="8" t="s">
        <v>10185</v>
      </c>
      <c r="F1764" s="8" t="s">
        <v>10186</v>
      </c>
      <c r="G1764" s="6" t="s">
        <v>81</v>
      </c>
      <c r="H1764" s="6" t="s">
        <v>39</v>
      </c>
      <c r="I1764" s="8" t="s">
        <v>40</v>
      </c>
      <c r="J1764" s="9">
        <v>1</v>
      </c>
      <c r="K1764" s="9">
        <v>320</v>
      </c>
      <c r="L1764" s="9">
        <v>2026</v>
      </c>
      <c r="M1764" s="8" t="s">
        <v>10187</v>
      </c>
      <c r="N1764" s="8" t="s">
        <v>54</v>
      </c>
      <c r="O1764" s="8" t="s">
        <v>117</v>
      </c>
      <c r="P1764" s="6" t="s">
        <v>44</v>
      </c>
      <c r="Q1764" s="8" t="s">
        <v>45</v>
      </c>
      <c r="R1764" s="10" t="s">
        <v>10188</v>
      </c>
      <c r="S1764" s="11"/>
      <c r="T1764" s="6"/>
      <c r="U1764" s="24" t="str">
        <f>HYPERLINK("https://media.infra-m.ru/2205/2205020/cover/2205020.jpg", "Обложка")</f>
        <v>Обложка</v>
      </c>
      <c r="V1764" s="24" t="str">
        <f>HYPERLINK("https://znanium.ru/catalog/product/2205020", "Ознакомиться")</f>
        <v>Ознакомиться</v>
      </c>
      <c r="W1764" s="8" t="s">
        <v>516</v>
      </c>
      <c r="X1764" s="6"/>
      <c r="Y1764" s="6"/>
      <c r="Z1764" s="6"/>
      <c r="AA1764" s="6" t="s">
        <v>127</v>
      </c>
      <c r="AB1764" s="8"/>
    </row>
    <row r="1765" spans="1:28" s="4" customFormat="1" ht="42" customHeight="1">
      <c r="A1765" s="5">
        <v>0</v>
      </c>
      <c r="B1765" s="6" t="s">
        <v>10189</v>
      </c>
      <c r="C1765" s="7">
        <v>1874.4</v>
      </c>
      <c r="D1765" s="8" t="s">
        <v>10190</v>
      </c>
      <c r="E1765" s="8" t="s">
        <v>10191</v>
      </c>
      <c r="F1765" s="8" t="s">
        <v>10192</v>
      </c>
      <c r="G1765" s="6" t="s">
        <v>38</v>
      </c>
      <c r="H1765" s="6" t="s">
        <v>326</v>
      </c>
      <c r="I1765" s="8"/>
      <c r="J1765" s="9">
        <v>1</v>
      </c>
      <c r="K1765" s="9">
        <v>256</v>
      </c>
      <c r="L1765" s="9">
        <v>2023</v>
      </c>
      <c r="M1765" s="8" t="s">
        <v>10193</v>
      </c>
      <c r="N1765" s="8" t="s">
        <v>54</v>
      </c>
      <c r="O1765" s="8" t="s">
        <v>117</v>
      </c>
      <c r="P1765" s="6" t="s">
        <v>44</v>
      </c>
      <c r="Q1765" s="8" t="s">
        <v>45</v>
      </c>
      <c r="R1765" s="10" t="s">
        <v>2706</v>
      </c>
      <c r="S1765" s="11"/>
      <c r="T1765" s="6"/>
      <c r="U1765" s="24" t="str">
        <f>HYPERLINK("https://media.infra-m.ru/1895/1895670/cover/1895670.jpg", "Обложка")</f>
        <v>Обложка</v>
      </c>
      <c r="V1765" s="24" t="str">
        <f>HYPERLINK("https://znanium.ru/catalog/product/1895670", "Ознакомиться")</f>
        <v>Ознакомиться</v>
      </c>
      <c r="W1765" s="8" t="s">
        <v>2707</v>
      </c>
      <c r="X1765" s="6"/>
      <c r="Y1765" s="6"/>
      <c r="Z1765" s="6"/>
      <c r="AA1765" s="6" t="s">
        <v>48</v>
      </c>
      <c r="AB1765" s="8"/>
    </row>
    <row r="1766" spans="1:28" s="4" customFormat="1" ht="44.1" customHeight="1">
      <c r="A1766" s="5">
        <v>0</v>
      </c>
      <c r="B1766" s="6" t="s">
        <v>10194</v>
      </c>
      <c r="C1766" s="7">
        <v>1596</v>
      </c>
      <c r="D1766" s="8" t="s">
        <v>10195</v>
      </c>
      <c r="E1766" s="8" t="s">
        <v>10196</v>
      </c>
      <c r="F1766" s="8" t="s">
        <v>10197</v>
      </c>
      <c r="G1766" s="6" t="s">
        <v>38</v>
      </c>
      <c r="H1766" s="6" t="s">
        <v>39</v>
      </c>
      <c r="I1766" s="8" t="s">
        <v>40</v>
      </c>
      <c r="J1766" s="9">
        <v>1</v>
      </c>
      <c r="K1766" s="9">
        <v>289</v>
      </c>
      <c r="L1766" s="9">
        <v>2024</v>
      </c>
      <c r="M1766" s="8" t="s">
        <v>10198</v>
      </c>
      <c r="N1766" s="8" t="s">
        <v>229</v>
      </c>
      <c r="O1766" s="8" t="s">
        <v>230</v>
      </c>
      <c r="P1766" s="6" t="s">
        <v>44</v>
      </c>
      <c r="Q1766" s="8" t="s">
        <v>45</v>
      </c>
      <c r="R1766" s="10" t="s">
        <v>10199</v>
      </c>
      <c r="S1766" s="11"/>
      <c r="T1766" s="6"/>
      <c r="U1766" s="24" t="str">
        <f>HYPERLINK("https://media.infra-m.ru/2078/2078381/cover/2078381.jpg", "Обложка")</f>
        <v>Обложка</v>
      </c>
      <c r="V1766" s="24" t="str">
        <f>HYPERLINK("https://znanium.ru/catalog/product/914651", "Ознакомиться")</f>
        <v>Ознакомиться</v>
      </c>
      <c r="W1766" s="8" t="s">
        <v>535</v>
      </c>
      <c r="X1766" s="6"/>
      <c r="Y1766" s="6"/>
      <c r="Z1766" s="6"/>
      <c r="AA1766" s="6" t="s">
        <v>127</v>
      </c>
      <c r="AB1766" s="8"/>
    </row>
    <row r="1767" spans="1:28" s="4" customFormat="1" ht="42" customHeight="1">
      <c r="A1767" s="5">
        <v>0</v>
      </c>
      <c r="B1767" s="6" t="s">
        <v>10200</v>
      </c>
      <c r="C1767" s="7">
        <v>2556</v>
      </c>
      <c r="D1767" s="8" t="s">
        <v>10201</v>
      </c>
      <c r="E1767" s="8" t="s">
        <v>10202</v>
      </c>
      <c r="F1767" s="8" t="s">
        <v>10203</v>
      </c>
      <c r="G1767" s="6" t="s">
        <v>81</v>
      </c>
      <c r="H1767" s="6" t="s">
        <v>99</v>
      </c>
      <c r="I1767" s="8"/>
      <c r="J1767" s="9">
        <v>1</v>
      </c>
      <c r="K1767" s="9">
        <v>576</v>
      </c>
      <c r="L1767" s="9">
        <v>2022</v>
      </c>
      <c r="M1767" s="8" t="s">
        <v>10204</v>
      </c>
      <c r="N1767" s="8" t="s">
        <v>42</v>
      </c>
      <c r="O1767" s="8" t="s">
        <v>101</v>
      </c>
      <c r="P1767" s="6" t="s">
        <v>44</v>
      </c>
      <c r="Q1767" s="8" t="s">
        <v>45</v>
      </c>
      <c r="R1767" s="10" t="s">
        <v>269</v>
      </c>
      <c r="S1767" s="11"/>
      <c r="T1767" s="6"/>
      <c r="U1767" s="24" t="str">
        <f>HYPERLINK("https://media.infra-m.ru/1808/1808769/cover/1808769.jpg", "Обложка")</f>
        <v>Обложка</v>
      </c>
      <c r="V1767" s="24" t="str">
        <f>HYPERLINK("https://znanium.ru/catalog/product/1808769", "Ознакомиться")</f>
        <v>Ознакомиться</v>
      </c>
      <c r="W1767" s="8" t="s">
        <v>7725</v>
      </c>
      <c r="X1767" s="6"/>
      <c r="Y1767" s="6"/>
      <c r="Z1767" s="6"/>
      <c r="AA1767" s="6" t="s">
        <v>76</v>
      </c>
      <c r="AB1767" s="8"/>
    </row>
    <row r="1768" spans="1:28" s="4" customFormat="1" ht="42" customHeight="1">
      <c r="A1768" s="5">
        <v>0</v>
      </c>
      <c r="B1768" s="6" t="s">
        <v>10205</v>
      </c>
      <c r="C1768" s="13">
        <v>780</v>
      </c>
      <c r="D1768" s="8" t="s">
        <v>10206</v>
      </c>
      <c r="E1768" s="8" t="s">
        <v>10207</v>
      </c>
      <c r="F1768" s="8" t="s">
        <v>10208</v>
      </c>
      <c r="G1768" s="6" t="s">
        <v>38</v>
      </c>
      <c r="H1768" s="6" t="s">
        <v>39</v>
      </c>
      <c r="I1768" s="8" t="s">
        <v>40</v>
      </c>
      <c r="J1768" s="9">
        <v>1</v>
      </c>
      <c r="K1768" s="9">
        <v>160</v>
      </c>
      <c r="L1768" s="9">
        <v>2022</v>
      </c>
      <c r="M1768" s="8" t="s">
        <v>10209</v>
      </c>
      <c r="N1768" s="8" t="s">
        <v>42</v>
      </c>
      <c r="O1768" s="8" t="s">
        <v>101</v>
      </c>
      <c r="P1768" s="6" t="s">
        <v>44</v>
      </c>
      <c r="Q1768" s="8" t="s">
        <v>45</v>
      </c>
      <c r="R1768" s="10" t="s">
        <v>269</v>
      </c>
      <c r="S1768" s="11"/>
      <c r="T1768" s="6"/>
      <c r="U1768" s="24" t="str">
        <f>HYPERLINK("https://media.infra-m.ru/1845/1845985/cover/1845985.jpg", "Обложка")</f>
        <v>Обложка</v>
      </c>
      <c r="V1768" s="24" t="str">
        <f>HYPERLINK("https://znanium.ru/catalog/product/1845985", "Ознакомиться")</f>
        <v>Ознакомиться</v>
      </c>
      <c r="W1768" s="8" t="s">
        <v>191</v>
      </c>
      <c r="X1768" s="6"/>
      <c r="Y1768" s="6"/>
      <c r="Z1768" s="6"/>
      <c r="AA1768" s="6" t="s">
        <v>111</v>
      </c>
      <c r="AB1768" s="8"/>
    </row>
    <row r="1769" spans="1:28" s="4" customFormat="1" ht="42" customHeight="1">
      <c r="A1769" s="5">
        <v>0</v>
      </c>
      <c r="B1769" s="6" t="s">
        <v>10210</v>
      </c>
      <c r="C1769" s="7">
        <v>1852.8</v>
      </c>
      <c r="D1769" s="8" t="s">
        <v>10211</v>
      </c>
      <c r="E1769" s="8" t="s">
        <v>10212</v>
      </c>
      <c r="F1769" s="8" t="s">
        <v>2285</v>
      </c>
      <c r="G1769" s="6" t="s">
        <v>132</v>
      </c>
      <c r="H1769" s="6" t="s">
        <v>99</v>
      </c>
      <c r="I1769" s="8"/>
      <c r="J1769" s="9">
        <v>1</v>
      </c>
      <c r="K1769" s="9">
        <v>336</v>
      </c>
      <c r="L1769" s="9">
        <v>2023</v>
      </c>
      <c r="M1769" s="8" t="s">
        <v>10213</v>
      </c>
      <c r="N1769" s="8" t="s">
        <v>42</v>
      </c>
      <c r="O1769" s="8" t="s">
        <v>101</v>
      </c>
      <c r="P1769" s="6" t="s">
        <v>44</v>
      </c>
      <c r="Q1769" s="8" t="s">
        <v>45</v>
      </c>
      <c r="R1769" s="10" t="s">
        <v>874</v>
      </c>
      <c r="S1769" s="11"/>
      <c r="T1769" s="6"/>
      <c r="U1769" s="24" t="str">
        <f>HYPERLINK("https://media.infra-m.ru/2041/2041703/cover/2041703.jpg", "Обложка")</f>
        <v>Обложка</v>
      </c>
      <c r="V1769" s="24" t="str">
        <f>HYPERLINK("https://znanium.ru/catalog/product/1840498", "Ознакомиться")</f>
        <v>Ознакомиться</v>
      </c>
      <c r="W1769" s="8" t="s">
        <v>565</v>
      </c>
      <c r="X1769" s="6"/>
      <c r="Y1769" s="6"/>
      <c r="Z1769" s="6"/>
      <c r="AA1769" s="6" t="s">
        <v>94</v>
      </c>
      <c r="AB1769" s="8"/>
    </row>
    <row r="1770" spans="1:28" s="4" customFormat="1" ht="51.95" customHeight="1">
      <c r="A1770" s="5">
        <v>0</v>
      </c>
      <c r="B1770" s="6" t="s">
        <v>10214</v>
      </c>
      <c r="C1770" s="7">
        <v>1792.8</v>
      </c>
      <c r="D1770" s="8" t="s">
        <v>10215</v>
      </c>
      <c r="E1770" s="8" t="s">
        <v>10216</v>
      </c>
      <c r="F1770" s="8" t="s">
        <v>10217</v>
      </c>
      <c r="G1770" s="6" t="s">
        <v>132</v>
      </c>
      <c r="H1770" s="6" t="s">
        <v>39</v>
      </c>
      <c r="I1770" s="8" t="s">
        <v>40</v>
      </c>
      <c r="J1770" s="9">
        <v>1</v>
      </c>
      <c r="K1770" s="9">
        <v>261</v>
      </c>
      <c r="L1770" s="9">
        <v>2025</v>
      </c>
      <c r="M1770" s="8" t="s">
        <v>10218</v>
      </c>
      <c r="N1770" s="8" t="s">
        <v>42</v>
      </c>
      <c r="O1770" s="8" t="s">
        <v>101</v>
      </c>
      <c r="P1770" s="6" t="s">
        <v>44</v>
      </c>
      <c r="Q1770" s="8" t="s">
        <v>45</v>
      </c>
      <c r="R1770" s="10" t="s">
        <v>10219</v>
      </c>
      <c r="S1770" s="11"/>
      <c r="T1770" s="6"/>
      <c r="U1770" s="24" t="str">
        <f>HYPERLINK("https://media.infra-m.ru/2230/2230167/cover/2230167.jpg", "Обложка")</f>
        <v>Обложка</v>
      </c>
      <c r="V1770" s="24" t="str">
        <f>HYPERLINK("https://znanium.ru/catalog/product/2143084", "Ознакомиться")</f>
        <v>Ознакомиться</v>
      </c>
      <c r="W1770" s="8" t="s">
        <v>10220</v>
      </c>
      <c r="X1770" s="6"/>
      <c r="Y1770" s="6"/>
      <c r="Z1770" s="6"/>
      <c r="AA1770" s="6" t="s">
        <v>159</v>
      </c>
      <c r="AB1770" s="8"/>
    </row>
    <row r="1771" spans="1:28" s="4" customFormat="1" ht="51.95" customHeight="1">
      <c r="A1771" s="5">
        <v>0</v>
      </c>
      <c r="B1771" s="6" t="s">
        <v>10221</v>
      </c>
      <c r="C1771" s="7">
        <v>1241.9000000000001</v>
      </c>
      <c r="D1771" s="8" t="s">
        <v>10222</v>
      </c>
      <c r="E1771" s="8" t="s">
        <v>10223</v>
      </c>
      <c r="F1771" s="8" t="s">
        <v>10224</v>
      </c>
      <c r="G1771" s="6" t="s">
        <v>132</v>
      </c>
      <c r="H1771" s="6" t="s">
        <v>99</v>
      </c>
      <c r="I1771" s="8"/>
      <c r="J1771" s="9">
        <v>1</v>
      </c>
      <c r="K1771" s="9">
        <v>304</v>
      </c>
      <c r="L1771" s="9">
        <v>2019</v>
      </c>
      <c r="M1771" s="8" t="s">
        <v>10225</v>
      </c>
      <c r="N1771" s="8" t="s">
        <v>42</v>
      </c>
      <c r="O1771" s="8" t="s">
        <v>101</v>
      </c>
      <c r="P1771" s="6" t="s">
        <v>44</v>
      </c>
      <c r="Q1771" s="8" t="s">
        <v>3762</v>
      </c>
      <c r="R1771" s="10" t="s">
        <v>10226</v>
      </c>
      <c r="S1771" s="11"/>
      <c r="T1771" s="6"/>
      <c r="U1771" s="24" t="str">
        <f>HYPERLINK("https://media.infra-m.ru/1011/1011092/cover/1011092.jpg", "Обложка")</f>
        <v>Обложка</v>
      </c>
      <c r="V1771" s="24" t="str">
        <f>HYPERLINK("https://znanium.ru/catalog/product/1011092", "Ознакомиться")</f>
        <v>Ознакомиться</v>
      </c>
      <c r="W1771" s="8" t="s">
        <v>418</v>
      </c>
      <c r="X1771" s="6"/>
      <c r="Y1771" s="6"/>
      <c r="Z1771" s="6"/>
      <c r="AA1771" s="6" t="s">
        <v>369</v>
      </c>
      <c r="AB1771" s="8"/>
    </row>
    <row r="1772" spans="1:28" s="4" customFormat="1" ht="42" customHeight="1">
      <c r="A1772" s="5">
        <v>0</v>
      </c>
      <c r="B1772" s="6" t="s">
        <v>10227</v>
      </c>
      <c r="C1772" s="7">
        <v>1385.9</v>
      </c>
      <c r="D1772" s="8" t="s">
        <v>10228</v>
      </c>
      <c r="E1772" s="8" t="s">
        <v>10229</v>
      </c>
      <c r="F1772" s="8" t="s">
        <v>10230</v>
      </c>
      <c r="G1772" s="6" t="s">
        <v>132</v>
      </c>
      <c r="H1772" s="6" t="s">
        <v>39</v>
      </c>
      <c r="I1772" s="8" t="s">
        <v>336</v>
      </c>
      <c r="J1772" s="9">
        <v>1</v>
      </c>
      <c r="K1772" s="9">
        <v>256</v>
      </c>
      <c r="L1772" s="9">
        <v>2023</v>
      </c>
      <c r="M1772" s="8" t="s">
        <v>10231</v>
      </c>
      <c r="N1772" s="8" t="s">
        <v>42</v>
      </c>
      <c r="O1772" s="8" t="s">
        <v>101</v>
      </c>
      <c r="P1772" s="6" t="s">
        <v>44</v>
      </c>
      <c r="Q1772" s="8" t="s">
        <v>45</v>
      </c>
      <c r="R1772" s="10" t="s">
        <v>2946</v>
      </c>
      <c r="S1772" s="11"/>
      <c r="T1772" s="6"/>
      <c r="U1772" s="24" t="str">
        <f>HYPERLINK("https://media.infra-m.ru/2030/2030894/cover/2030894.jpg", "Обложка")</f>
        <v>Обложка</v>
      </c>
      <c r="V1772" s="24" t="str">
        <f>HYPERLINK("https://znanium.ru/catalog/product/999954", "Ознакомиться")</f>
        <v>Ознакомиться</v>
      </c>
      <c r="W1772" s="8" t="s">
        <v>103</v>
      </c>
      <c r="X1772" s="6"/>
      <c r="Y1772" s="6"/>
      <c r="Z1772" s="6"/>
      <c r="AA1772" s="6" t="s">
        <v>76</v>
      </c>
      <c r="AB1772" s="8"/>
    </row>
    <row r="1773" spans="1:28" s="4" customFormat="1" ht="42" customHeight="1">
      <c r="A1773" s="5">
        <v>0</v>
      </c>
      <c r="B1773" s="6" t="s">
        <v>10232</v>
      </c>
      <c r="C1773" s="13">
        <v>648</v>
      </c>
      <c r="D1773" s="8" t="s">
        <v>10233</v>
      </c>
      <c r="E1773" s="8" t="s">
        <v>10234</v>
      </c>
      <c r="F1773" s="8" t="s">
        <v>10235</v>
      </c>
      <c r="G1773" s="6" t="s">
        <v>132</v>
      </c>
      <c r="H1773" s="6" t="s">
        <v>39</v>
      </c>
      <c r="I1773" s="8"/>
      <c r="J1773" s="9">
        <v>1</v>
      </c>
      <c r="K1773" s="9">
        <v>405</v>
      </c>
      <c r="L1773" s="9">
        <v>2025</v>
      </c>
      <c r="M1773" s="8" t="s">
        <v>10236</v>
      </c>
      <c r="N1773" s="8" t="s">
        <v>42</v>
      </c>
      <c r="O1773" s="8" t="s">
        <v>43</v>
      </c>
      <c r="P1773" s="6" t="s">
        <v>44</v>
      </c>
      <c r="Q1773" s="8" t="s">
        <v>45</v>
      </c>
      <c r="R1773" s="10"/>
      <c r="S1773" s="11"/>
      <c r="T1773" s="6"/>
      <c r="U1773" s="24" t="str">
        <f>HYPERLINK("https://media.infra-m.ru/2206/2206569/cover/2206569.jpg", "Обложка")</f>
        <v>Обложка</v>
      </c>
      <c r="V1773" s="12"/>
      <c r="W1773" s="8" t="s">
        <v>10237</v>
      </c>
      <c r="X1773" s="6" t="s">
        <v>320</v>
      </c>
      <c r="Y1773" s="6"/>
      <c r="Z1773" s="6"/>
      <c r="AA1773" s="6" t="s">
        <v>159</v>
      </c>
      <c r="AB1773" s="8"/>
    </row>
    <row r="1774" spans="1:28" s="4" customFormat="1" ht="42" customHeight="1">
      <c r="A1774" s="5">
        <v>0</v>
      </c>
      <c r="B1774" s="6" t="s">
        <v>10238</v>
      </c>
      <c r="C1774" s="7">
        <v>1236</v>
      </c>
      <c r="D1774" s="8" t="s">
        <v>10239</v>
      </c>
      <c r="E1774" s="8" t="s">
        <v>10240</v>
      </c>
      <c r="F1774" s="8" t="s">
        <v>10241</v>
      </c>
      <c r="G1774" s="6" t="s">
        <v>38</v>
      </c>
      <c r="H1774" s="6" t="s">
        <v>39</v>
      </c>
      <c r="I1774" s="8" t="s">
        <v>40</v>
      </c>
      <c r="J1774" s="9">
        <v>1</v>
      </c>
      <c r="K1774" s="9">
        <v>216</v>
      </c>
      <c r="L1774" s="9">
        <v>2023</v>
      </c>
      <c r="M1774" s="8" t="s">
        <v>10242</v>
      </c>
      <c r="N1774" s="8" t="s">
        <v>229</v>
      </c>
      <c r="O1774" s="8" t="s">
        <v>230</v>
      </c>
      <c r="P1774" s="6" t="s">
        <v>44</v>
      </c>
      <c r="Q1774" s="8" t="s">
        <v>45</v>
      </c>
      <c r="R1774" s="10" t="s">
        <v>3618</v>
      </c>
      <c r="S1774" s="11"/>
      <c r="T1774" s="6"/>
      <c r="U1774" s="24" t="str">
        <f>HYPERLINK("https://media.infra-m.ru/1868/1868917/cover/1868917.jpg", "Обложка")</f>
        <v>Обложка</v>
      </c>
      <c r="V1774" s="24" t="str">
        <f>HYPERLINK("https://znanium.ru/catalog/product/1868917", "Ознакомиться")</f>
        <v>Ознакомиться</v>
      </c>
      <c r="W1774" s="8" t="s">
        <v>1594</v>
      </c>
      <c r="X1774" s="6"/>
      <c r="Y1774" s="6"/>
      <c r="Z1774" s="6"/>
      <c r="AA1774" s="6" t="s">
        <v>119</v>
      </c>
      <c r="AB1774" s="8"/>
    </row>
    <row r="1775" spans="1:28" s="4" customFormat="1" ht="51.95" customHeight="1">
      <c r="A1775" s="5">
        <v>0</v>
      </c>
      <c r="B1775" s="6" t="s">
        <v>10243</v>
      </c>
      <c r="C1775" s="7">
        <v>1188</v>
      </c>
      <c r="D1775" s="8" t="s">
        <v>10244</v>
      </c>
      <c r="E1775" s="8" t="s">
        <v>10245</v>
      </c>
      <c r="F1775" s="8" t="s">
        <v>10246</v>
      </c>
      <c r="G1775" s="6" t="s">
        <v>81</v>
      </c>
      <c r="H1775" s="6" t="s">
        <v>39</v>
      </c>
      <c r="I1775" s="8" t="s">
        <v>40</v>
      </c>
      <c r="J1775" s="9">
        <v>1</v>
      </c>
      <c r="K1775" s="9">
        <v>289</v>
      </c>
      <c r="L1775" s="9">
        <v>2019</v>
      </c>
      <c r="M1775" s="8" t="s">
        <v>10247</v>
      </c>
      <c r="N1775" s="8" t="s">
        <v>54</v>
      </c>
      <c r="O1775" s="8" t="s">
        <v>55</v>
      </c>
      <c r="P1775" s="6" t="s">
        <v>44</v>
      </c>
      <c r="Q1775" s="8" t="s">
        <v>45</v>
      </c>
      <c r="R1775" s="10" t="s">
        <v>10248</v>
      </c>
      <c r="S1775" s="11"/>
      <c r="T1775" s="6"/>
      <c r="U1775" s="24" t="str">
        <f>HYPERLINK("https://media.infra-m.ru/1031/1031325/cover/1031325.jpg", "Обложка")</f>
        <v>Обложка</v>
      </c>
      <c r="V1775" s="24" t="str">
        <f>HYPERLINK("https://znanium.ru/catalog/product/1031325", "Ознакомиться")</f>
        <v>Ознакомиться</v>
      </c>
      <c r="W1775" s="8" t="s">
        <v>10249</v>
      </c>
      <c r="X1775" s="6"/>
      <c r="Y1775" s="6"/>
      <c r="Z1775" s="6"/>
      <c r="AA1775" s="6" t="s">
        <v>68</v>
      </c>
      <c r="AB1775" s="8"/>
    </row>
    <row r="1776" spans="1:28" s="4" customFormat="1" ht="42" customHeight="1">
      <c r="A1776" s="5">
        <v>0</v>
      </c>
      <c r="B1776" s="6" t="s">
        <v>10250</v>
      </c>
      <c r="C1776" s="7">
        <v>1320</v>
      </c>
      <c r="D1776" s="8" t="s">
        <v>10251</v>
      </c>
      <c r="E1776" s="8" t="s">
        <v>10252</v>
      </c>
      <c r="F1776" s="8" t="s">
        <v>10253</v>
      </c>
      <c r="G1776" s="6" t="s">
        <v>81</v>
      </c>
      <c r="H1776" s="6" t="s">
        <v>39</v>
      </c>
      <c r="I1776" s="8" t="s">
        <v>40</v>
      </c>
      <c r="J1776" s="9">
        <v>1</v>
      </c>
      <c r="K1776" s="9">
        <v>210</v>
      </c>
      <c r="L1776" s="9">
        <v>2026</v>
      </c>
      <c r="M1776" s="8" t="s">
        <v>10254</v>
      </c>
      <c r="N1776" s="8" t="s">
        <v>229</v>
      </c>
      <c r="O1776" s="8" t="s">
        <v>230</v>
      </c>
      <c r="P1776" s="6" t="s">
        <v>44</v>
      </c>
      <c r="Q1776" s="8" t="s">
        <v>45</v>
      </c>
      <c r="R1776" s="10" t="s">
        <v>10255</v>
      </c>
      <c r="S1776" s="11"/>
      <c r="T1776" s="6"/>
      <c r="U1776" s="24" t="str">
        <f>HYPERLINK("https://media.infra-m.ru/2217/2217602/cover/2217602.jpg", "Обложка")</f>
        <v>Обложка</v>
      </c>
      <c r="V1776" s="24" t="str">
        <f>HYPERLINK("https://znanium.ru/catalog/product/2217602", "Ознакомиться")</f>
        <v>Ознакомиться</v>
      </c>
      <c r="W1776" s="8" t="s">
        <v>1735</v>
      </c>
      <c r="X1776" s="6"/>
      <c r="Y1776" s="6"/>
      <c r="Z1776" s="6"/>
      <c r="AA1776" s="6" t="s">
        <v>339</v>
      </c>
      <c r="AB1776" s="8"/>
    </row>
    <row r="1777" spans="1:28" s="4" customFormat="1" ht="51.95" customHeight="1">
      <c r="A1777" s="5">
        <v>0</v>
      </c>
      <c r="B1777" s="6" t="s">
        <v>10256</v>
      </c>
      <c r="C1777" s="7">
        <v>1104</v>
      </c>
      <c r="D1777" s="8" t="s">
        <v>10257</v>
      </c>
      <c r="E1777" s="8" t="s">
        <v>10258</v>
      </c>
      <c r="F1777" s="8" t="s">
        <v>10259</v>
      </c>
      <c r="G1777" s="6" t="s">
        <v>38</v>
      </c>
      <c r="H1777" s="6" t="s">
        <v>39</v>
      </c>
      <c r="I1777" s="8" t="s">
        <v>40</v>
      </c>
      <c r="J1777" s="9">
        <v>1</v>
      </c>
      <c r="K1777" s="9">
        <v>178</v>
      </c>
      <c r="L1777" s="9">
        <v>2025</v>
      </c>
      <c r="M1777" s="8" t="s">
        <v>10260</v>
      </c>
      <c r="N1777" s="8" t="s">
        <v>42</v>
      </c>
      <c r="O1777" s="8" t="s">
        <v>101</v>
      </c>
      <c r="P1777" s="6" t="s">
        <v>44</v>
      </c>
      <c r="Q1777" s="8" t="s">
        <v>45</v>
      </c>
      <c r="R1777" s="10" t="s">
        <v>10261</v>
      </c>
      <c r="S1777" s="11"/>
      <c r="T1777" s="6"/>
      <c r="U1777" s="24" t="str">
        <f>HYPERLINK("https://media.infra-m.ru/2170/2170828/cover/2170828.jpg", "Обложка")</f>
        <v>Обложка</v>
      </c>
      <c r="V1777" s="24" t="str">
        <f>HYPERLINK("https://znanium.ru/catalog/product/2170828", "Ознакомиться")</f>
        <v>Ознакомиться</v>
      </c>
      <c r="W1777" s="8" t="s">
        <v>10262</v>
      </c>
      <c r="X1777" s="6" t="s">
        <v>306</v>
      </c>
      <c r="Y1777" s="6"/>
      <c r="Z1777" s="6"/>
      <c r="AA1777" s="6" t="s">
        <v>159</v>
      </c>
      <c r="AB1777" s="8"/>
    </row>
    <row r="1778" spans="1:28" s="4" customFormat="1" ht="42" customHeight="1">
      <c r="A1778" s="5">
        <v>0</v>
      </c>
      <c r="B1778" s="6" t="s">
        <v>10263</v>
      </c>
      <c r="C1778" s="7">
        <v>1144.8</v>
      </c>
      <c r="D1778" s="8" t="s">
        <v>10264</v>
      </c>
      <c r="E1778" s="8" t="s">
        <v>10265</v>
      </c>
      <c r="F1778" s="8" t="s">
        <v>1371</v>
      </c>
      <c r="G1778" s="6" t="s">
        <v>81</v>
      </c>
      <c r="H1778" s="6" t="s">
        <v>99</v>
      </c>
      <c r="I1778" s="8"/>
      <c r="J1778" s="9">
        <v>1</v>
      </c>
      <c r="K1778" s="9">
        <v>184</v>
      </c>
      <c r="L1778" s="9">
        <v>2026</v>
      </c>
      <c r="M1778" s="8" t="s">
        <v>10266</v>
      </c>
      <c r="N1778" s="8" t="s">
        <v>42</v>
      </c>
      <c r="O1778" s="8" t="s">
        <v>2306</v>
      </c>
      <c r="P1778" s="6" t="s">
        <v>44</v>
      </c>
      <c r="Q1778" s="8" t="s">
        <v>45</v>
      </c>
      <c r="R1778" s="10" t="s">
        <v>10267</v>
      </c>
      <c r="S1778" s="11"/>
      <c r="T1778" s="6"/>
      <c r="U1778" s="24" t="str">
        <f>HYPERLINK("https://media.infra-m.ru/2218/2218483/cover/2218483.jpg", "Обложка")</f>
        <v>Обложка</v>
      </c>
      <c r="V1778" s="24" t="str">
        <f>HYPERLINK("https://znanium.ru/catalog/product/1347316", "Ознакомиться")</f>
        <v>Ознакомиться</v>
      </c>
      <c r="W1778" s="8" t="s">
        <v>418</v>
      </c>
      <c r="X1778" s="6"/>
      <c r="Y1778" s="6"/>
      <c r="Z1778" s="6"/>
      <c r="AA1778" s="6" t="s">
        <v>369</v>
      </c>
      <c r="AB1778" s="8"/>
    </row>
    <row r="1779" spans="1:28" s="4" customFormat="1" ht="42" customHeight="1">
      <c r="A1779" s="5">
        <v>0</v>
      </c>
      <c r="B1779" s="6" t="s">
        <v>10268</v>
      </c>
      <c r="C1779" s="13">
        <v>600</v>
      </c>
      <c r="D1779" s="8" t="s">
        <v>10269</v>
      </c>
      <c r="E1779" s="8" t="s">
        <v>10270</v>
      </c>
      <c r="F1779" s="8" t="s">
        <v>10271</v>
      </c>
      <c r="G1779" s="6" t="s">
        <v>38</v>
      </c>
      <c r="H1779" s="6" t="s">
        <v>39</v>
      </c>
      <c r="I1779" s="8" t="s">
        <v>40</v>
      </c>
      <c r="J1779" s="9">
        <v>1</v>
      </c>
      <c r="K1779" s="9">
        <v>112</v>
      </c>
      <c r="L1779" s="9">
        <v>2023</v>
      </c>
      <c r="M1779" s="8" t="s">
        <v>10272</v>
      </c>
      <c r="N1779" s="8" t="s">
        <v>284</v>
      </c>
      <c r="O1779" s="8" t="s">
        <v>717</v>
      </c>
      <c r="P1779" s="6" t="s">
        <v>44</v>
      </c>
      <c r="Q1779" s="8" t="s">
        <v>45</v>
      </c>
      <c r="R1779" s="10" t="s">
        <v>718</v>
      </c>
      <c r="S1779" s="11"/>
      <c r="T1779" s="6"/>
      <c r="U1779" s="24" t="str">
        <f>HYPERLINK("https://media.infra-m.ru/1938/1938009/cover/1938009.jpg", "Обложка")</f>
        <v>Обложка</v>
      </c>
      <c r="V1779" s="24" t="str">
        <f>HYPERLINK("https://znanium.ru/catalog/product/1938009", "Ознакомиться")</f>
        <v>Ознакомиться</v>
      </c>
      <c r="W1779" s="8" t="s">
        <v>3137</v>
      </c>
      <c r="X1779" s="6"/>
      <c r="Y1779" s="6"/>
      <c r="Z1779" s="6"/>
      <c r="AA1779" s="6" t="s">
        <v>290</v>
      </c>
      <c r="AB1779" s="8"/>
    </row>
    <row r="1780" spans="1:28" s="4" customFormat="1" ht="51.95" customHeight="1">
      <c r="A1780" s="5">
        <v>0</v>
      </c>
      <c r="B1780" s="6" t="s">
        <v>10273</v>
      </c>
      <c r="C1780" s="13">
        <v>672</v>
      </c>
      <c r="D1780" s="8" t="s">
        <v>10274</v>
      </c>
      <c r="E1780" s="8" t="s">
        <v>10275</v>
      </c>
      <c r="F1780" s="8" t="s">
        <v>10276</v>
      </c>
      <c r="G1780" s="6" t="s">
        <v>38</v>
      </c>
      <c r="H1780" s="6" t="s">
        <v>39</v>
      </c>
      <c r="I1780" s="8" t="s">
        <v>351</v>
      </c>
      <c r="J1780" s="9">
        <v>1</v>
      </c>
      <c r="K1780" s="9">
        <v>124</v>
      </c>
      <c r="L1780" s="9">
        <v>2024</v>
      </c>
      <c r="M1780" s="8" t="s">
        <v>10277</v>
      </c>
      <c r="N1780" s="8" t="s">
        <v>54</v>
      </c>
      <c r="O1780" s="8" t="s">
        <v>117</v>
      </c>
      <c r="P1780" s="6" t="s">
        <v>44</v>
      </c>
      <c r="Q1780" s="8" t="s">
        <v>45</v>
      </c>
      <c r="R1780" s="10" t="s">
        <v>10278</v>
      </c>
      <c r="S1780" s="11"/>
      <c r="T1780" s="6"/>
      <c r="U1780" s="24" t="str">
        <f>HYPERLINK("https://media.infra-m.ru/2048/2048140/cover/2048140.jpg", "Обложка")</f>
        <v>Обложка</v>
      </c>
      <c r="V1780" s="24" t="str">
        <f>HYPERLINK("https://znanium.ru/catalog/product/2048140", "Ознакомиться")</f>
        <v>Ознакомиться</v>
      </c>
      <c r="W1780" s="8" t="s">
        <v>10279</v>
      </c>
      <c r="X1780" s="6"/>
      <c r="Y1780" s="6"/>
      <c r="Z1780" s="6"/>
      <c r="AA1780" s="6" t="s">
        <v>76</v>
      </c>
      <c r="AB1780" s="8"/>
    </row>
    <row r="1781" spans="1:28" s="4" customFormat="1" ht="51.95" customHeight="1">
      <c r="A1781" s="5">
        <v>0</v>
      </c>
      <c r="B1781" s="6" t="s">
        <v>10280</v>
      </c>
      <c r="C1781" s="7">
        <v>1272</v>
      </c>
      <c r="D1781" s="8" t="s">
        <v>10281</v>
      </c>
      <c r="E1781" s="8" t="s">
        <v>10282</v>
      </c>
      <c r="F1781" s="8" t="s">
        <v>10283</v>
      </c>
      <c r="G1781" s="6" t="s">
        <v>38</v>
      </c>
      <c r="H1781" s="6" t="s">
        <v>39</v>
      </c>
      <c r="I1781" s="8" t="s">
        <v>40</v>
      </c>
      <c r="J1781" s="9">
        <v>1</v>
      </c>
      <c r="K1781" s="9">
        <v>271</v>
      </c>
      <c r="L1781" s="9">
        <v>2022</v>
      </c>
      <c r="M1781" s="8" t="s">
        <v>10284</v>
      </c>
      <c r="N1781" s="8" t="s">
        <v>229</v>
      </c>
      <c r="O1781" s="8" t="s">
        <v>230</v>
      </c>
      <c r="P1781" s="6" t="s">
        <v>44</v>
      </c>
      <c r="Q1781" s="8" t="s">
        <v>45</v>
      </c>
      <c r="R1781" s="10" t="s">
        <v>10285</v>
      </c>
      <c r="S1781" s="11"/>
      <c r="T1781" s="6"/>
      <c r="U1781" s="24" t="str">
        <f>HYPERLINK("https://media.infra-m.ru/1840/1840120/cover/1840120.jpg", "Обложка")</f>
        <v>Обложка</v>
      </c>
      <c r="V1781" s="24" t="str">
        <f>HYPERLINK("https://znanium.ru/catalog/product/1840120", "Ознакомиться")</f>
        <v>Ознакомиться</v>
      </c>
      <c r="W1781" s="8" t="s">
        <v>93</v>
      </c>
      <c r="X1781" s="6"/>
      <c r="Y1781" s="6"/>
      <c r="Z1781" s="6"/>
      <c r="AA1781" s="6" t="s">
        <v>127</v>
      </c>
      <c r="AB1781" s="8"/>
    </row>
    <row r="1782" spans="1:28" s="4" customFormat="1" ht="42" customHeight="1">
      <c r="A1782" s="5">
        <v>0</v>
      </c>
      <c r="B1782" s="6" t="s">
        <v>10286</v>
      </c>
      <c r="C1782" s="7">
        <v>1176</v>
      </c>
      <c r="D1782" s="8" t="s">
        <v>10287</v>
      </c>
      <c r="E1782" s="8" t="s">
        <v>10288</v>
      </c>
      <c r="F1782" s="8" t="s">
        <v>10289</v>
      </c>
      <c r="G1782" s="6" t="s">
        <v>38</v>
      </c>
      <c r="H1782" s="6" t="s">
        <v>182</v>
      </c>
      <c r="I1782" s="8" t="s">
        <v>40</v>
      </c>
      <c r="J1782" s="9">
        <v>1</v>
      </c>
      <c r="K1782" s="9">
        <v>213</v>
      </c>
      <c r="L1782" s="9">
        <v>2024</v>
      </c>
      <c r="M1782" s="8" t="s">
        <v>10290</v>
      </c>
      <c r="N1782" s="8" t="s">
        <v>42</v>
      </c>
      <c r="O1782" s="8" t="s">
        <v>246</v>
      </c>
      <c r="P1782" s="6" t="s">
        <v>44</v>
      </c>
      <c r="Q1782" s="8" t="s">
        <v>45</v>
      </c>
      <c r="R1782" s="10" t="s">
        <v>8413</v>
      </c>
      <c r="S1782" s="11"/>
      <c r="T1782" s="6"/>
      <c r="U1782" s="24" t="str">
        <f>HYPERLINK("https://media.infra-m.ru/1877/1877533/cover/1877533.jpg", "Обложка")</f>
        <v>Обложка</v>
      </c>
      <c r="V1782" s="12"/>
      <c r="W1782" s="8" t="s">
        <v>10291</v>
      </c>
      <c r="X1782" s="6"/>
      <c r="Y1782" s="6"/>
      <c r="Z1782" s="6"/>
      <c r="AA1782" s="6" t="s">
        <v>111</v>
      </c>
      <c r="AB1782" s="8"/>
    </row>
    <row r="1783" spans="1:28" s="4" customFormat="1" ht="51.95" customHeight="1">
      <c r="A1783" s="5">
        <v>0</v>
      </c>
      <c r="B1783" s="6" t="s">
        <v>10292</v>
      </c>
      <c r="C1783" s="7">
        <v>1836</v>
      </c>
      <c r="D1783" s="8" t="s">
        <v>10293</v>
      </c>
      <c r="E1783" s="8" t="s">
        <v>10294</v>
      </c>
      <c r="F1783" s="8" t="s">
        <v>10295</v>
      </c>
      <c r="G1783" s="6" t="s">
        <v>81</v>
      </c>
      <c r="H1783" s="6" t="s">
        <v>99</v>
      </c>
      <c r="I1783" s="8"/>
      <c r="J1783" s="9">
        <v>1</v>
      </c>
      <c r="K1783" s="9">
        <v>288</v>
      </c>
      <c r="L1783" s="9">
        <v>2026</v>
      </c>
      <c r="M1783" s="8" t="s">
        <v>10296</v>
      </c>
      <c r="N1783" s="8" t="s">
        <v>42</v>
      </c>
      <c r="O1783" s="8" t="s">
        <v>101</v>
      </c>
      <c r="P1783" s="6" t="s">
        <v>44</v>
      </c>
      <c r="Q1783" s="8" t="s">
        <v>45</v>
      </c>
      <c r="R1783" s="10" t="s">
        <v>10297</v>
      </c>
      <c r="S1783" s="11"/>
      <c r="T1783" s="6"/>
      <c r="U1783" s="24" t="str">
        <f>HYPERLINK("https://media.infra-m.ru/2215/2215586/cover/2215586.jpg", "Обложка")</f>
        <v>Обложка</v>
      </c>
      <c r="V1783" s="24" t="str">
        <f>HYPERLINK("https://znanium.ru/catalog/product/2215586", "Ознакомиться")</f>
        <v>Ознакомиться</v>
      </c>
      <c r="W1783" s="8" t="s">
        <v>10298</v>
      </c>
      <c r="X1783" s="6"/>
      <c r="Y1783" s="6"/>
      <c r="Z1783" s="6"/>
      <c r="AA1783" s="6" t="s">
        <v>369</v>
      </c>
      <c r="AB1783" s="8"/>
    </row>
    <row r="1784" spans="1:28" s="4" customFormat="1" ht="44.1" customHeight="1">
      <c r="A1784" s="5">
        <v>0</v>
      </c>
      <c r="B1784" s="6" t="s">
        <v>10299</v>
      </c>
      <c r="C1784" s="7">
        <v>2152.8000000000002</v>
      </c>
      <c r="D1784" s="8" t="s">
        <v>10300</v>
      </c>
      <c r="E1784" s="8" t="s">
        <v>10301</v>
      </c>
      <c r="F1784" s="8" t="s">
        <v>10302</v>
      </c>
      <c r="G1784" s="6" t="s">
        <v>132</v>
      </c>
      <c r="H1784" s="6" t="s">
        <v>39</v>
      </c>
      <c r="I1784" s="8" t="s">
        <v>40</v>
      </c>
      <c r="J1784" s="9">
        <v>1</v>
      </c>
      <c r="K1784" s="9">
        <v>361</v>
      </c>
      <c r="L1784" s="9">
        <v>2025</v>
      </c>
      <c r="M1784" s="8" t="s">
        <v>10303</v>
      </c>
      <c r="N1784" s="8" t="s">
        <v>229</v>
      </c>
      <c r="O1784" s="8" t="s">
        <v>230</v>
      </c>
      <c r="P1784" s="6" t="s">
        <v>44</v>
      </c>
      <c r="Q1784" s="8" t="s">
        <v>45</v>
      </c>
      <c r="R1784" s="10" t="s">
        <v>4146</v>
      </c>
      <c r="S1784" s="11"/>
      <c r="T1784" s="6" t="s">
        <v>1080</v>
      </c>
      <c r="U1784" s="24" t="str">
        <f>HYPERLINK("https://media.infra-m.ru/2087/2087309/cover/2087309.jpg", "Обложка")</f>
        <v>Обложка</v>
      </c>
      <c r="V1784" s="24" t="str">
        <f>HYPERLINK("https://znanium.ru/catalog/product/1857069", "Ознакомиться")</f>
        <v>Ознакомиться</v>
      </c>
      <c r="W1784" s="8" t="s">
        <v>535</v>
      </c>
      <c r="X1784" s="6"/>
      <c r="Y1784" s="6"/>
      <c r="Z1784" s="6"/>
      <c r="AA1784" s="6" t="s">
        <v>111</v>
      </c>
      <c r="AB1784" s="8"/>
    </row>
    <row r="1785" spans="1:28" s="4" customFormat="1" ht="42" customHeight="1">
      <c r="A1785" s="5">
        <v>0</v>
      </c>
      <c r="B1785" s="6" t="s">
        <v>10304</v>
      </c>
      <c r="C1785" s="13">
        <v>473.9</v>
      </c>
      <c r="D1785" s="8" t="s">
        <v>10305</v>
      </c>
      <c r="E1785" s="8" t="s">
        <v>10306</v>
      </c>
      <c r="F1785" s="8" t="s">
        <v>10307</v>
      </c>
      <c r="G1785" s="6" t="s">
        <v>38</v>
      </c>
      <c r="H1785" s="6" t="s">
        <v>182</v>
      </c>
      <c r="I1785" s="8" t="s">
        <v>40</v>
      </c>
      <c r="J1785" s="9">
        <v>1</v>
      </c>
      <c r="K1785" s="9">
        <v>116</v>
      </c>
      <c r="L1785" s="9">
        <v>2019</v>
      </c>
      <c r="M1785" s="8" t="s">
        <v>10308</v>
      </c>
      <c r="N1785" s="8" t="s">
        <v>42</v>
      </c>
      <c r="O1785" s="8" t="s">
        <v>189</v>
      </c>
      <c r="P1785" s="6" t="s">
        <v>44</v>
      </c>
      <c r="Q1785" s="8" t="s">
        <v>45</v>
      </c>
      <c r="R1785" s="10" t="s">
        <v>10309</v>
      </c>
      <c r="S1785" s="11"/>
      <c r="T1785" s="6"/>
      <c r="U1785" s="24" t="str">
        <f>HYPERLINK("https://media.infra-m.ru/1002/1002040/cover/1002040.jpg", "Обложка")</f>
        <v>Обложка</v>
      </c>
      <c r="V1785" s="24" t="str">
        <f>HYPERLINK("https://znanium.ru/catalog/product/1002040", "Ознакомиться")</f>
        <v>Ознакомиться</v>
      </c>
      <c r="W1785" s="8" t="s">
        <v>3948</v>
      </c>
      <c r="X1785" s="6"/>
      <c r="Y1785" s="6"/>
      <c r="Z1785" s="6"/>
      <c r="AA1785" s="6" t="s">
        <v>127</v>
      </c>
      <c r="AB1785" s="8"/>
    </row>
    <row r="1786" spans="1:28" s="4" customFormat="1" ht="51.95" customHeight="1">
      <c r="A1786" s="5">
        <v>0</v>
      </c>
      <c r="B1786" s="6" t="s">
        <v>10310</v>
      </c>
      <c r="C1786" s="7">
        <v>1008</v>
      </c>
      <c r="D1786" s="8" t="s">
        <v>10311</v>
      </c>
      <c r="E1786" s="8" t="s">
        <v>10312</v>
      </c>
      <c r="F1786" s="8" t="s">
        <v>10313</v>
      </c>
      <c r="G1786" s="6" t="s">
        <v>38</v>
      </c>
      <c r="H1786" s="6" t="s">
        <v>39</v>
      </c>
      <c r="I1786" s="8" t="s">
        <v>40</v>
      </c>
      <c r="J1786" s="9">
        <v>1</v>
      </c>
      <c r="K1786" s="9">
        <v>183</v>
      </c>
      <c r="L1786" s="9">
        <v>2022</v>
      </c>
      <c r="M1786" s="8" t="s">
        <v>10314</v>
      </c>
      <c r="N1786" s="8" t="s">
        <v>229</v>
      </c>
      <c r="O1786" s="8" t="s">
        <v>230</v>
      </c>
      <c r="P1786" s="6" t="s">
        <v>44</v>
      </c>
      <c r="Q1786" s="8" t="s">
        <v>45</v>
      </c>
      <c r="R1786" s="10" t="s">
        <v>10315</v>
      </c>
      <c r="S1786" s="11"/>
      <c r="T1786" s="6"/>
      <c r="U1786" s="24" t="str">
        <f>HYPERLINK("https://media.infra-m.ru/1859/1859605/cover/1859605.jpg", "Обложка")</f>
        <v>Обложка</v>
      </c>
      <c r="V1786" s="24" t="str">
        <f>HYPERLINK("https://znanium.ru/catalog/product/1859605", "Ознакомиться")</f>
        <v>Ознакомиться</v>
      </c>
      <c r="W1786" s="8" t="s">
        <v>10316</v>
      </c>
      <c r="X1786" s="6"/>
      <c r="Y1786" s="6"/>
      <c r="Z1786" s="6"/>
      <c r="AA1786" s="6" t="s">
        <v>111</v>
      </c>
      <c r="AB1786" s="8"/>
    </row>
    <row r="1787" spans="1:28" s="4" customFormat="1" ht="51.95" customHeight="1">
      <c r="A1787" s="5">
        <v>0</v>
      </c>
      <c r="B1787" s="6" t="s">
        <v>10317</v>
      </c>
      <c r="C1787" s="7">
        <v>1253.9000000000001</v>
      </c>
      <c r="D1787" s="8" t="s">
        <v>10318</v>
      </c>
      <c r="E1787" s="8" t="s">
        <v>10319</v>
      </c>
      <c r="F1787" s="8" t="s">
        <v>10320</v>
      </c>
      <c r="G1787" s="6" t="s">
        <v>132</v>
      </c>
      <c r="H1787" s="6" t="s">
        <v>39</v>
      </c>
      <c r="I1787" s="8" t="s">
        <v>82</v>
      </c>
      <c r="J1787" s="9">
        <v>1</v>
      </c>
      <c r="K1787" s="9">
        <v>237</v>
      </c>
      <c r="L1787" s="9">
        <v>2020</v>
      </c>
      <c r="M1787" s="8" t="s">
        <v>10321</v>
      </c>
      <c r="N1787" s="8" t="s">
        <v>42</v>
      </c>
      <c r="O1787" s="8" t="s">
        <v>189</v>
      </c>
      <c r="P1787" s="6" t="s">
        <v>44</v>
      </c>
      <c r="Q1787" s="8" t="s">
        <v>45</v>
      </c>
      <c r="R1787" s="10" t="s">
        <v>10322</v>
      </c>
      <c r="S1787" s="11"/>
      <c r="T1787" s="6"/>
      <c r="U1787" s="24" t="str">
        <f>HYPERLINK("https://media.infra-m.ru/1044/1044569/cover/1044569.jpg", "Обложка")</f>
        <v>Обложка</v>
      </c>
      <c r="V1787" s="24" t="str">
        <f>HYPERLINK("https://znanium.ru/catalog/product/961980", "Ознакомиться")</f>
        <v>Ознакомиться</v>
      </c>
      <c r="W1787" s="8" t="s">
        <v>232</v>
      </c>
      <c r="X1787" s="6"/>
      <c r="Y1787" s="6"/>
      <c r="Z1787" s="6"/>
      <c r="AA1787" s="6" t="s">
        <v>68</v>
      </c>
      <c r="AB1787" s="8"/>
    </row>
    <row r="1788" spans="1:28" s="4" customFormat="1" ht="51.95" customHeight="1">
      <c r="A1788" s="5">
        <v>0</v>
      </c>
      <c r="B1788" s="6" t="s">
        <v>10323</v>
      </c>
      <c r="C1788" s="7">
        <v>1524</v>
      </c>
      <c r="D1788" s="8" t="s">
        <v>10324</v>
      </c>
      <c r="E1788" s="8" t="s">
        <v>10325</v>
      </c>
      <c r="F1788" s="8" t="s">
        <v>10326</v>
      </c>
      <c r="G1788" s="6" t="s">
        <v>132</v>
      </c>
      <c r="H1788" s="6" t="s">
        <v>39</v>
      </c>
      <c r="I1788" s="8" t="s">
        <v>40</v>
      </c>
      <c r="J1788" s="9">
        <v>1</v>
      </c>
      <c r="K1788" s="9">
        <v>274</v>
      </c>
      <c r="L1788" s="9">
        <v>2023</v>
      </c>
      <c r="M1788" s="8" t="s">
        <v>10327</v>
      </c>
      <c r="N1788" s="8" t="s">
        <v>229</v>
      </c>
      <c r="O1788" s="8" t="s">
        <v>230</v>
      </c>
      <c r="P1788" s="6" t="s">
        <v>44</v>
      </c>
      <c r="Q1788" s="8" t="s">
        <v>45</v>
      </c>
      <c r="R1788" s="10" t="s">
        <v>10328</v>
      </c>
      <c r="S1788" s="11"/>
      <c r="T1788" s="6"/>
      <c r="U1788" s="24" t="str">
        <f>HYPERLINK("https://media.infra-m.ru/1989/1989214/cover/1989214.jpg", "Обложка")</f>
        <v>Обложка</v>
      </c>
      <c r="V1788" s="24" t="str">
        <f>HYPERLINK("https://znanium.ru/catalog/product/1989214", "Ознакомиться")</f>
        <v>Ознакомиться</v>
      </c>
      <c r="W1788" s="8" t="s">
        <v>10329</v>
      </c>
      <c r="X1788" s="6"/>
      <c r="Y1788" s="6"/>
      <c r="Z1788" s="6"/>
      <c r="AA1788" s="6" t="s">
        <v>119</v>
      </c>
      <c r="AB1788" s="8"/>
    </row>
    <row r="1789" spans="1:28" s="4" customFormat="1" ht="51.95" customHeight="1">
      <c r="A1789" s="5">
        <v>0</v>
      </c>
      <c r="B1789" s="6" t="s">
        <v>10330</v>
      </c>
      <c r="C1789" s="13">
        <v>708</v>
      </c>
      <c r="D1789" s="8" t="s">
        <v>10331</v>
      </c>
      <c r="E1789" s="8" t="s">
        <v>10332</v>
      </c>
      <c r="F1789" s="8" t="s">
        <v>10333</v>
      </c>
      <c r="G1789" s="6" t="s">
        <v>38</v>
      </c>
      <c r="H1789" s="6" t="s">
        <v>39</v>
      </c>
      <c r="I1789" s="8" t="s">
        <v>40</v>
      </c>
      <c r="J1789" s="9">
        <v>1</v>
      </c>
      <c r="K1789" s="9">
        <v>126</v>
      </c>
      <c r="L1789" s="9">
        <v>2023</v>
      </c>
      <c r="M1789" s="8" t="s">
        <v>10334</v>
      </c>
      <c r="N1789" s="8" t="s">
        <v>229</v>
      </c>
      <c r="O1789" s="8" t="s">
        <v>230</v>
      </c>
      <c r="P1789" s="6" t="s">
        <v>44</v>
      </c>
      <c r="Q1789" s="8" t="s">
        <v>45</v>
      </c>
      <c r="R1789" s="10" t="s">
        <v>10335</v>
      </c>
      <c r="S1789" s="11"/>
      <c r="T1789" s="6"/>
      <c r="U1789" s="24" t="str">
        <f>HYPERLINK("https://media.infra-m.ru/2018/2018247/cover/2018247.jpg", "Обложка")</f>
        <v>Обложка</v>
      </c>
      <c r="V1789" s="24" t="str">
        <f>HYPERLINK("https://znanium.ru/catalog/product/2018247", "Ознакомиться")</f>
        <v>Ознакомиться</v>
      </c>
      <c r="W1789" s="8" t="s">
        <v>6799</v>
      </c>
      <c r="X1789" s="6"/>
      <c r="Y1789" s="6"/>
      <c r="Z1789" s="6"/>
      <c r="AA1789" s="6" t="s">
        <v>68</v>
      </c>
      <c r="AB1789" s="8"/>
    </row>
    <row r="1790" spans="1:28" s="4" customFormat="1" ht="51.95" customHeight="1">
      <c r="A1790" s="5">
        <v>0</v>
      </c>
      <c r="B1790" s="6" t="s">
        <v>10336</v>
      </c>
      <c r="C1790" s="13">
        <v>773.9</v>
      </c>
      <c r="D1790" s="8" t="s">
        <v>10337</v>
      </c>
      <c r="E1790" s="8" t="s">
        <v>10338</v>
      </c>
      <c r="F1790" s="8" t="s">
        <v>10339</v>
      </c>
      <c r="G1790" s="6" t="s">
        <v>132</v>
      </c>
      <c r="H1790" s="6" t="s">
        <v>39</v>
      </c>
      <c r="I1790" s="8" t="s">
        <v>40</v>
      </c>
      <c r="J1790" s="9">
        <v>1</v>
      </c>
      <c r="K1790" s="9">
        <v>184</v>
      </c>
      <c r="L1790" s="9">
        <v>2020</v>
      </c>
      <c r="M1790" s="8" t="s">
        <v>10340</v>
      </c>
      <c r="N1790" s="8" t="s">
        <v>284</v>
      </c>
      <c r="O1790" s="8" t="s">
        <v>383</v>
      </c>
      <c r="P1790" s="6" t="s">
        <v>44</v>
      </c>
      <c r="Q1790" s="8" t="s">
        <v>45</v>
      </c>
      <c r="R1790" s="10" t="s">
        <v>10341</v>
      </c>
      <c r="S1790" s="11"/>
      <c r="T1790" s="6"/>
      <c r="U1790" s="24" t="str">
        <f>HYPERLINK("https://media.infra-m.ru/1047/1047113/cover/1047113.jpg", "Обложка")</f>
        <v>Обложка</v>
      </c>
      <c r="V1790" s="24" t="str">
        <f>HYPERLINK("https://znanium.ru/catalog/product/1047113", "Ознакомиться")</f>
        <v>Ознакомиться</v>
      </c>
      <c r="W1790" s="8" t="s">
        <v>3378</v>
      </c>
      <c r="X1790" s="6"/>
      <c r="Y1790" s="6"/>
      <c r="Z1790" s="6"/>
      <c r="AA1790" s="6" t="s">
        <v>369</v>
      </c>
      <c r="AB1790" s="8"/>
    </row>
    <row r="1791" spans="1:28" s="4" customFormat="1" ht="44.1" customHeight="1">
      <c r="A1791" s="5">
        <v>0</v>
      </c>
      <c r="B1791" s="6" t="s">
        <v>10342</v>
      </c>
      <c r="C1791" s="7">
        <v>1248</v>
      </c>
      <c r="D1791" s="8" t="s">
        <v>10343</v>
      </c>
      <c r="E1791" s="8" t="s">
        <v>10344</v>
      </c>
      <c r="F1791" s="8" t="s">
        <v>10345</v>
      </c>
      <c r="G1791" s="6" t="s">
        <v>38</v>
      </c>
      <c r="H1791" s="6" t="s">
        <v>39</v>
      </c>
      <c r="I1791" s="8" t="s">
        <v>40</v>
      </c>
      <c r="J1791" s="9">
        <v>1</v>
      </c>
      <c r="K1791" s="9">
        <v>229</v>
      </c>
      <c r="L1791" s="9">
        <v>2023</v>
      </c>
      <c r="M1791" s="8" t="s">
        <v>10346</v>
      </c>
      <c r="N1791" s="8" t="s">
        <v>229</v>
      </c>
      <c r="O1791" s="8" t="s">
        <v>230</v>
      </c>
      <c r="P1791" s="6" t="s">
        <v>44</v>
      </c>
      <c r="Q1791" s="8" t="s">
        <v>45</v>
      </c>
      <c r="R1791" s="10" t="s">
        <v>7513</v>
      </c>
      <c r="S1791" s="11"/>
      <c r="T1791" s="6"/>
      <c r="U1791" s="24" t="str">
        <f>HYPERLINK("https://media.infra-m.ru/1876/1876370/cover/1876370.jpg", "Обложка")</f>
        <v>Обложка</v>
      </c>
      <c r="V1791" s="24" t="str">
        <f>HYPERLINK("https://znanium.ru/catalog/product/1876370", "Ознакомиться")</f>
        <v>Ознакомиться</v>
      </c>
      <c r="W1791" s="8" t="s">
        <v>8341</v>
      </c>
      <c r="X1791" s="6"/>
      <c r="Y1791" s="6"/>
      <c r="Z1791" s="6"/>
      <c r="AA1791" s="6" t="s">
        <v>119</v>
      </c>
      <c r="AB1791" s="8"/>
    </row>
    <row r="1792" spans="1:28" s="4" customFormat="1" ht="51.95" customHeight="1">
      <c r="A1792" s="5">
        <v>0</v>
      </c>
      <c r="B1792" s="6" t="s">
        <v>10347</v>
      </c>
      <c r="C1792" s="13">
        <v>929.9</v>
      </c>
      <c r="D1792" s="8" t="s">
        <v>10348</v>
      </c>
      <c r="E1792" s="8" t="s">
        <v>10349</v>
      </c>
      <c r="F1792" s="8" t="s">
        <v>10350</v>
      </c>
      <c r="G1792" s="6" t="s">
        <v>38</v>
      </c>
      <c r="H1792" s="6" t="s">
        <v>39</v>
      </c>
      <c r="I1792" s="8" t="s">
        <v>40</v>
      </c>
      <c r="J1792" s="9">
        <v>1</v>
      </c>
      <c r="K1792" s="9">
        <v>198</v>
      </c>
      <c r="L1792" s="9">
        <v>2022</v>
      </c>
      <c r="M1792" s="8" t="s">
        <v>10351</v>
      </c>
      <c r="N1792" s="8" t="s">
        <v>42</v>
      </c>
      <c r="O1792" s="8" t="s">
        <v>246</v>
      </c>
      <c r="P1792" s="6" t="s">
        <v>44</v>
      </c>
      <c r="Q1792" s="8" t="s">
        <v>45</v>
      </c>
      <c r="R1792" s="10" t="s">
        <v>360</v>
      </c>
      <c r="S1792" s="11"/>
      <c r="T1792" s="6"/>
      <c r="U1792" s="24" t="str">
        <f>HYPERLINK("https://media.infra-m.ru/1852/1852200/cover/1852200.jpg", "Обложка")</f>
        <v>Обложка</v>
      </c>
      <c r="V1792" s="24" t="str">
        <f>HYPERLINK("https://znanium.ru/catalog/product/1852200", "Ознакомиться")</f>
        <v>Ознакомиться</v>
      </c>
      <c r="W1792" s="8" t="s">
        <v>403</v>
      </c>
      <c r="X1792" s="6"/>
      <c r="Y1792" s="6"/>
      <c r="Z1792" s="6"/>
      <c r="AA1792" s="6" t="s">
        <v>290</v>
      </c>
      <c r="AB1792" s="8"/>
    </row>
    <row r="1793" spans="1:28" s="4" customFormat="1" ht="42" customHeight="1">
      <c r="A1793" s="5">
        <v>0</v>
      </c>
      <c r="B1793" s="6" t="s">
        <v>10352</v>
      </c>
      <c r="C1793" s="7">
        <v>1492.8</v>
      </c>
      <c r="D1793" s="8" t="s">
        <v>10353</v>
      </c>
      <c r="E1793" s="8" t="s">
        <v>10354</v>
      </c>
      <c r="F1793" s="8" t="s">
        <v>10355</v>
      </c>
      <c r="G1793" s="6" t="s">
        <v>38</v>
      </c>
      <c r="H1793" s="6" t="s">
        <v>39</v>
      </c>
      <c r="I1793" s="8" t="s">
        <v>40</v>
      </c>
      <c r="J1793" s="9">
        <v>1</v>
      </c>
      <c r="K1793" s="9">
        <v>234</v>
      </c>
      <c r="L1793" s="9">
        <v>2026</v>
      </c>
      <c r="M1793" s="8" t="s">
        <v>10356</v>
      </c>
      <c r="N1793" s="8" t="s">
        <v>229</v>
      </c>
      <c r="O1793" s="8" t="s">
        <v>230</v>
      </c>
      <c r="P1793" s="6" t="s">
        <v>44</v>
      </c>
      <c r="Q1793" s="8" t="s">
        <v>45</v>
      </c>
      <c r="R1793" s="10" t="s">
        <v>231</v>
      </c>
      <c r="S1793" s="11"/>
      <c r="T1793" s="6"/>
      <c r="U1793" s="24" t="str">
        <f>HYPERLINK("https://media.infra-m.ru/2220/2220993/cover/2220993.jpg", "Обложка")</f>
        <v>Обложка</v>
      </c>
      <c r="V1793" s="24" t="str">
        <f>HYPERLINK("https://znanium.ru/catalog/product/2119112", "Ознакомиться")</f>
        <v>Ознакомиться</v>
      </c>
      <c r="W1793" s="8" t="s">
        <v>7660</v>
      </c>
      <c r="X1793" s="6"/>
      <c r="Y1793" s="6"/>
      <c r="Z1793" s="6"/>
      <c r="AA1793" s="6" t="s">
        <v>339</v>
      </c>
      <c r="AB1793" s="8"/>
    </row>
    <row r="1794" spans="1:28" s="4" customFormat="1" ht="42" customHeight="1">
      <c r="A1794" s="5">
        <v>0</v>
      </c>
      <c r="B1794" s="6" t="s">
        <v>10357</v>
      </c>
      <c r="C1794" s="7">
        <v>1020</v>
      </c>
      <c r="D1794" s="8" t="s">
        <v>10358</v>
      </c>
      <c r="E1794" s="8" t="s">
        <v>10359</v>
      </c>
      <c r="F1794" s="8" t="s">
        <v>10355</v>
      </c>
      <c r="G1794" s="6" t="s">
        <v>132</v>
      </c>
      <c r="H1794" s="6" t="s">
        <v>39</v>
      </c>
      <c r="I1794" s="8" t="s">
        <v>40</v>
      </c>
      <c r="J1794" s="9">
        <v>1</v>
      </c>
      <c r="K1794" s="9">
        <v>178</v>
      </c>
      <c r="L1794" s="9">
        <v>2024</v>
      </c>
      <c r="M1794" s="8" t="s">
        <v>10360</v>
      </c>
      <c r="N1794" s="8" t="s">
        <v>229</v>
      </c>
      <c r="O1794" s="8" t="s">
        <v>230</v>
      </c>
      <c r="P1794" s="6" t="s">
        <v>44</v>
      </c>
      <c r="Q1794" s="8" t="s">
        <v>45</v>
      </c>
      <c r="R1794" s="10" t="s">
        <v>3100</v>
      </c>
      <c r="S1794" s="11"/>
      <c r="T1794" s="6"/>
      <c r="U1794" s="24" t="str">
        <f>HYPERLINK("https://media.infra-m.ru/2081/2081624/cover/2081624.jpg", "Обложка")</f>
        <v>Обложка</v>
      </c>
      <c r="V1794" s="24" t="str">
        <f>HYPERLINK("https://znanium.ru/catalog/product/2081624", "Ознакомиться")</f>
        <v>Ознакомиться</v>
      </c>
      <c r="W1794" s="8" t="s">
        <v>7660</v>
      </c>
      <c r="X1794" s="6"/>
      <c r="Y1794" s="6"/>
      <c r="Z1794" s="6"/>
      <c r="AA1794" s="6" t="s">
        <v>58</v>
      </c>
      <c r="AB1794" s="8"/>
    </row>
    <row r="1795" spans="1:28" s="4" customFormat="1" ht="42" customHeight="1">
      <c r="A1795" s="5">
        <v>0</v>
      </c>
      <c r="B1795" s="6" t="s">
        <v>10361</v>
      </c>
      <c r="C1795" s="7">
        <v>1224</v>
      </c>
      <c r="D1795" s="8" t="s">
        <v>10362</v>
      </c>
      <c r="E1795" s="8" t="s">
        <v>10363</v>
      </c>
      <c r="F1795" s="8" t="s">
        <v>10364</v>
      </c>
      <c r="G1795" s="6" t="s">
        <v>81</v>
      </c>
      <c r="H1795" s="6" t="s">
        <v>39</v>
      </c>
      <c r="I1795" s="8" t="s">
        <v>1055</v>
      </c>
      <c r="J1795" s="9">
        <v>1</v>
      </c>
      <c r="K1795" s="9">
        <v>175</v>
      </c>
      <c r="L1795" s="9">
        <v>2026</v>
      </c>
      <c r="M1795" s="8" t="s">
        <v>10365</v>
      </c>
      <c r="N1795" s="8" t="s">
        <v>229</v>
      </c>
      <c r="O1795" s="8" t="s">
        <v>230</v>
      </c>
      <c r="P1795" s="6" t="s">
        <v>1057</v>
      </c>
      <c r="Q1795" s="8"/>
      <c r="R1795" s="10" t="s">
        <v>10366</v>
      </c>
      <c r="S1795" s="11"/>
      <c r="T1795" s="6"/>
      <c r="U1795" s="24" t="str">
        <f>HYPERLINK("https://media.infra-m.ru/2212/2212242/cover/2212242.jpg", "Обложка")</f>
        <v>Обложка</v>
      </c>
      <c r="V1795" s="24" t="str">
        <f>HYPERLINK("https://znanium.ru/catalog/product/2212242", "Ознакомиться")</f>
        <v>Ознакомиться</v>
      </c>
      <c r="W1795" s="8" t="s">
        <v>1420</v>
      </c>
      <c r="X1795" s="6"/>
      <c r="Y1795" s="6"/>
      <c r="Z1795" s="6"/>
      <c r="AA1795" s="6" t="s">
        <v>321</v>
      </c>
      <c r="AB1795" s="8"/>
    </row>
    <row r="1796" spans="1:28" s="4" customFormat="1" ht="42" customHeight="1">
      <c r="A1796" s="5">
        <v>0</v>
      </c>
      <c r="B1796" s="6" t="s">
        <v>10367</v>
      </c>
      <c r="C1796" s="7">
        <v>1000.8</v>
      </c>
      <c r="D1796" s="8" t="s">
        <v>10368</v>
      </c>
      <c r="E1796" s="8" t="s">
        <v>10369</v>
      </c>
      <c r="F1796" s="8" t="s">
        <v>10370</v>
      </c>
      <c r="G1796" s="6" t="s">
        <v>38</v>
      </c>
      <c r="H1796" s="6" t="s">
        <v>39</v>
      </c>
      <c r="I1796" s="8" t="s">
        <v>40</v>
      </c>
      <c r="J1796" s="9">
        <v>1</v>
      </c>
      <c r="K1796" s="9">
        <v>179</v>
      </c>
      <c r="L1796" s="9">
        <v>2023</v>
      </c>
      <c r="M1796" s="8" t="s">
        <v>10371</v>
      </c>
      <c r="N1796" s="8" t="s">
        <v>42</v>
      </c>
      <c r="O1796" s="8" t="s">
        <v>246</v>
      </c>
      <c r="P1796" s="6" t="s">
        <v>44</v>
      </c>
      <c r="Q1796" s="8" t="s">
        <v>45</v>
      </c>
      <c r="R1796" s="10" t="s">
        <v>8084</v>
      </c>
      <c r="S1796" s="11"/>
      <c r="T1796" s="6" t="s">
        <v>1080</v>
      </c>
      <c r="U1796" s="24" t="str">
        <f>HYPERLINK("https://media.infra-m.ru/2099/2099595/cover/2099595.jpg", "Обложка")</f>
        <v>Обложка</v>
      </c>
      <c r="V1796" s="24" t="str">
        <f>HYPERLINK("https://znanium.ru/catalog/product/1905228", "Ознакомиться")</f>
        <v>Ознакомиться</v>
      </c>
      <c r="W1796" s="8" t="s">
        <v>1362</v>
      </c>
      <c r="X1796" s="6"/>
      <c r="Y1796" s="6"/>
      <c r="Z1796" s="6"/>
      <c r="AA1796" s="6" t="s">
        <v>290</v>
      </c>
      <c r="AB1796" s="8"/>
    </row>
    <row r="1797" spans="1:28" s="4" customFormat="1" ht="42" customHeight="1">
      <c r="A1797" s="5">
        <v>0</v>
      </c>
      <c r="B1797" s="6" t="s">
        <v>10372</v>
      </c>
      <c r="C1797" s="7">
        <v>2752.8</v>
      </c>
      <c r="D1797" s="8" t="s">
        <v>10373</v>
      </c>
      <c r="E1797" s="8" t="s">
        <v>10374</v>
      </c>
      <c r="F1797" s="8" t="s">
        <v>5932</v>
      </c>
      <c r="G1797" s="6" t="s">
        <v>38</v>
      </c>
      <c r="H1797" s="6" t="s">
        <v>182</v>
      </c>
      <c r="I1797" s="8" t="s">
        <v>40</v>
      </c>
      <c r="J1797" s="9">
        <v>1</v>
      </c>
      <c r="K1797" s="9">
        <v>464</v>
      </c>
      <c r="L1797" s="9">
        <v>2025</v>
      </c>
      <c r="M1797" s="8" t="s">
        <v>10375</v>
      </c>
      <c r="N1797" s="8" t="s">
        <v>42</v>
      </c>
      <c r="O1797" s="8" t="s">
        <v>189</v>
      </c>
      <c r="P1797" s="6" t="s">
        <v>44</v>
      </c>
      <c r="Q1797" s="8" t="s">
        <v>45</v>
      </c>
      <c r="R1797" s="10" t="s">
        <v>10376</v>
      </c>
      <c r="S1797" s="11"/>
      <c r="T1797" s="6"/>
      <c r="U1797" s="24" t="str">
        <f>HYPERLINK("https://media.infra-m.ru/2167/2167993/cover/2167993.jpg", "Обложка")</f>
        <v>Обложка</v>
      </c>
      <c r="V1797" s="24" t="str">
        <f>HYPERLINK("https://znanium.ru/catalog/product/1094318", "Ознакомиться")</f>
        <v>Ознакомиться</v>
      </c>
      <c r="W1797" s="8" t="s">
        <v>3948</v>
      </c>
      <c r="X1797" s="6"/>
      <c r="Y1797" s="6"/>
      <c r="Z1797" s="6"/>
      <c r="AA1797" s="6" t="s">
        <v>339</v>
      </c>
      <c r="AB1797" s="8"/>
    </row>
    <row r="1798" spans="1:28" s="4" customFormat="1" ht="42" customHeight="1">
      <c r="A1798" s="5">
        <v>0</v>
      </c>
      <c r="B1798" s="6" t="s">
        <v>10377</v>
      </c>
      <c r="C1798" s="7">
        <v>1200</v>
      </c>
      <c r="D1798" s="8" t="s">
        <v>10378</v>
      </c>
      <c r="E1798" s="8" t="s">
        <v>10379</v>
      </c>
      <c r="F1798" s="8" t="s">
        <v>10380</v>
      </c>
      <c r="G1798" s="6" t="s">
        <v>38</v>
      </c>
      <c r="H1798" s="6" t="s">
        <v>39</v>
      </c>
      <c r="I1798" s="8" t="s">
        <v>40</v>
      </c>
      <c r="J1798" s="9">
        <v>1</v>
      </c>
      <c r="K1798" s="9">
        <v>207</v>
      </c>
      <c r="L1798" s="9">
        <v>2024</v>
      </c>
      <c r="M1798" s="8" t="s">
        <v>10381</v>
      </c>
      <c r="N1798" s="8" t="s">
        <v>229</v>
      </c>
      <c r="O1798" s="8" t="s">
        <v>230</v>
      </c>
      <c r="P1798" s="6" t="s">
        <v>44</v>
      </c>
      <c r="Q1798" s="8" t="s">
        <v>45</v>
      </c>
      <c r="R1798" s="10" t="s">
        <v>8396</v>
      </c>
      <c r="S1798" s="11"/>
      <c r="T1798" s="6"/>
      <c r="U1798" s="24" t="str">
        <f>HYPERLINK("https://media.infra-m.ru/2125/2125037/cover/2125037.jpg", "Обложка")</f>
        <v>Обложка</v>
      </c>
      <c r="V1798" s="24" t="str">
        <f>HYPERLINK("https://znanium.ru/catalog/product/2125037", "Ознакомиться")</f>
        <v>Ознакомиться</v>
      </c>
      <c r="W1798" s="8" t="s">
        <v>791</v>
      </c>
      <c r="X1798" s="6"/>
      <c r="Y1798" s="6"/>
      <c r="Z1798" s="6"/>
      <c r="AA1798" s="6" t="s">
        <v>58</v>
      </c>
      <c r="AB1798" s="8"/>
    </row>
    <row r="1799" spans="1:28" s="4" customFormat="1" ht="42" customHeight="1">
      <c r="A1799" s="5">
        <v>0</v>
      </c>
      <c r="B1799" s="6" t="s">
        <v>10382</v>
      </c>
      <c r="C1799" s="7">
        <v>1252.8</v>
      </c>
      <c r="D1799" s="8" t="s">
        <v>10383</v>
      </c>
      <c r="E1799" s="8" t="s">
        <v>10384</v>
      </c>
      <c r="F1799" s="8" t="s">
        <v>10385</v>
      </c>
      <c r="G1799" s="6" t="s">
        <v>38</v>
      </c>
      <c r="H1799" s="6" t="s">
        <v>39</v>
      </c>
      <c r="I1799" s="8" t="s">
        <v>40</v>
      </c>
      <c r="J1799" s="9">
        <v>1</v>
      </c>
      <c r="K1799" s="9">
        <v>228</v>
      </c>
      <c r="L1799" s="9">
        <v>2024</v>
      </c>
      <c r="M1799" s="8" t="s">
        <v>10386</v>
      </c>
      <c r="N1799" s="8" t="s">
        <v>42</v>
      </c>
      <c r="O1799" s="8" t="s">
        <v>189</v>
      </c>
      <c r="P1799" s="6" t="s">
        <v>44</v>
      </c>
      <c r="Q1799" s="8" t="s">
        <v>45</v>
      </c>
      <c r="R1799" s="10" t="s">
        <v>2472</v>
      </c>
      <c r="S1799" s="11"/>
      <c r="T1799" s="6"/>
      <c r="U1799" s="24" t="str">
        <f>HYPERLINK("https://media.infra-m.ru/2102/2102716/cover/2102716.jpg", "Обложка")</f>
        <v>Обложка</v>
      </c>
      <c r="V1799" s="24" t="str">
        <f>HYPERLINK("https://znanium.ru/catalog/product/1238771", "Ознакомиться")</f>
        <v>Ознакомиться</v>
      </c>
      <c r="W1799" s="8" t="s">
        <v>207</v>
      </c>
      <c r="X1799" s="6"/>
      <c r="Y1799" s="6"/>
      <c r="Z1799" s="6"/>
      <c r="AA1799" s="6" t="s">
        <v>127</v>
      </c>
      <c r="AB1799" s="8"/>
    </row>
    <row r="1800" spans="1:28" s="4" customFormat="1" ht="51.95" customHeight="1">
      <c r="A1800" s="5">
        <v>0</v>
      </c>
      <c r="B1800" s="6" t="s">
        <v>10387</v>
      </c>
      <c r="C1800" s="13">
        <v>912</v>
      </c>
      <c r="D1800" s="8" t="s">
        <v>10388</v>
      </c>
      <c r="E1800" s="8" t="s">
        <v>10389</v>
      </c>
      <c r="F1800" s="8" t="s">
        <v>10390</v>
      </c>
      <c r="G1800" s="6" t="s">
        <v>38</v>
      </c>
      <c r="H1800" s="6" t="s">
        <v>39</v>
      </c>
      <c r="I1800" s="8" t="s">
        <v>40</v>
      </c>
      <c r="J1800" s="9">
        <v>1</v>
      </c>
      <c r="K1800" s="9">
        <v>152</v>
      </c>
      <c r="L1800" s="9">
        <v>2025</v>
      </c>
      <c r="M1800" s="8" t="s">
        <v>10391</v>
      </c>
      <c r="N1800" s="8" t="s">
        <v>42</v>
      </c>
      <c r="O1800" s="8" t="s">
        <v>246</v>
      </c>
      <c r="P1800" s="6" t="s">
        <v>44</v>
      </c>
      <c r="Q1800" s="8" t="s">
        <v>45</v>
      </c>
      <c r="R1800" s="10" t="s">
        <v>10392</v>
      </c>
      <c r="S1800" s="11"/>
      <c r="T1800" s="6"/>
      <c r="U1800" s="24" t="str">
        <f>HYPERLINK("https://media.infra-m.ru/2163/2163035/cover/2163035.jpg", "Обложка")</f>
        <v>Обложка</v>
      </c>
      <c r="V1800" s="24" t="str">
        <f>HYPERLINK("https://znanium.ru/catalog/product/2163035", "Ознакомиться")</f>
        <v>Ознакомиться</v>
      </c>
      <c r="W1800" s="8" t="s">
        <v>5109</v>
      </c>
      <c r="X1800" s="6"/>
      <c r="Y1800" s="6"/>
      <c r="Z1800" s="6"/>
      <c r="AA1800" s="6" t="s">
        <v>127</v>
      </c>
      <c r="AB1800" s="8"/>
    </row>
    <row r="1801" spans="1:28" s="4" customFormat="1" ht="42" customHeight="1">
      <c r="A1801" s="5">
        <v>0</v>
      </c>
      <c r="B1801" s="6" t="s">
        <v>10393</v>
      </c>
      <c r="C1801" s="7">
        <v>2112</v>
      </c>
      <c r="D1801" s="8" t="s">
        <v>10394</v>
      </c>
      <c r="E1801" s="8" t="s">
        <v>10395</v>
      </c>
      <c r="F1801" s="8" t="s">
        <v>10396</v>
      </c>
      <c r="G1801" s="6" t="s">
        <v>81</v>
      </c>
      <c r="H1801" s="6" t="s">
        <v>39</v>
      </c>
      <c r="I1801" s="8" t="s">
        <v>40</v>
      </c>
      <c r="J1801" s="9">
        <v>1</v>
      </c>
      <c r="K1801" s="9">
        <v>338</v>
      </c>
      <c r="L1801" s="9">
        <v>2025</v>
      </c>
      <c r="M1801" s="8" t="s">
        <v>10397</v>
      </c>
      <c r="N1801" s="8" t="s">
        <v>42</v>
      </c>
      <c r="O1801" s="8" t="s">
        <v>101</v>
      </c>
      <c r="P1801" s="6" t="s">
        <v>44</v>
      </c>
      <c r="Q1801" s="8" t="s">
        <v>45</v>
      </c>
      <c r="R1801" s="10" t="s">
        <v>269</v>
      </c>
      <c r="S1801" s="11"/>
      <c r="T1801" s="6"/>
      <c r="U1801" s="24" t="str">
        <f>HYPERLINK("https://media.infra-m.ru/2198/2198328/cover/2198328.jpg", "Обложка")</f>
        <v>Обложка</v>
      </c>
      <c r="V1801" s="24" t="str">
        <f>HYPERLINK("https://znanium.ru/catalog/product/2198328", "Ознакомиться")</f>
        <v>Ознакомиться</v>
      </c>
      <c r="W1801" s="8" t="s">
        <v>5685</v>
      </c>
      <c r="X1801" s="6"/>
      <c r="Y1801" s="6"/>
      <c r="Z1801" s="6"/>
      <c r="AA1801" s="6" t="s">
        <v>119</v>
      </c>
      <c r="AB1801" s="8"/>
    </row>
    <row r="1802" spans="1:28" s="4" customFormat="1" ht="51.95" customHeight="1">
      <c r="A1802" s="5">
        <v>0</v>
      </c>
      <c r="B1802" s="6" t="s">
        <v>10398</v>
      </c>
      <c r="C1802" s="7">
        <v>1956</v>
      </c>
      <c r="D1802" s="8" t="s">
        <v>10399</v>
      </c>
      <c r="E1802" s="8" t="s">
        <v>10400</v>
      </c>
      <c r="F1802" s="8" t="s">
        <v>10401</v>
      </c>
      <c r="G1802" s="6" t="s">
        <v>132</v>
      </c>
      <c r="H1802" s="6" t="s">
        <v>39</v>
      </c>
      <c r="I1802" s="8" t="s">
        <v>40</v>
      </c>
      <c r="J1802" s="9">
        <v>1</v>
      </c>
      <c r="K1802" s="9">
        <v>321</v>
      </c>
      <c r="L1802" s="9">
        <v>2025</v>
      </c>
      <c r="M1802" s="8" t="s">
        <v>10402</v>
      </c>
      <c r="N1802" s="8" t="s">
        <v>42</v>
      </c>
      <c r="O1802" s="8" t="s">
        <v>101</v>
      </c>
      <c r="P1802" s="6" t="s">
        <v>44</v>
      </c>
      <c r="Q1802" s="8" t="s">
        <v>45</v>
      </c>
      <c r="R1802" s="10" t="s">
        <v>1939</v>
      </c>
      <c r="S1802" s="11"/>
      <c r="T1802" s="6"/>
      <c r="U1802" s="24" t="str">
        <f>HYPERLINK("https://media.infra-m.ru/2130/2130669/cover/2130669.jpg", "Обложка")</f>
        <v>Обложка</v>
      </c>
      <c r="V1802" s="24" t="str">
        <f>HYPERLINK("https://znanium.ru/catalog/product/2130669", "Ознакомиться")</f>
        <v>Ознакомиться</v>
      </c>
      <c r="W1802" s="8" t="s">
        <v>103</v>
      </c>
      <c r="X1802" s="6"/>
      <c r="Y1802" s="6"/>
      <c r="Z1802" s="6"/>
      <c r="AA1802" s="6" t="s">
        <v>159</v>
      </c>
      <c r="AB1802" s="8"/>
    </row>
    <row r="1803" spans="1:28" s="4" customFormat="1" ht="42" customHeight="1">
      <c r="A1803" s="5">
        <v>0</v>
      </c>
      <c r="B1803" s="6" t="s">
        <v>10403</v>
      </c>
      <c r="C1803" s="7">
        <v>1740</v>
      </c>
      <c r="D1803" s="8" t="s">
        <v>10404</v>
      </c>
      <c r="E1803" s="8" t="s">
        <v>10405</v>
      </c>
      <c r="F1803" s="8" t="s">
        <v>10406</v>
      </c>
      <c r="G1803" s="6" t="s">
        <v>132</v>
      </c>
      <c r="H1803" s="6" t="s">
        <v>182</v>
      </c>
      <c r="I1803" s="8" t="s">
        <v>40</v>
      </c>
      <c r="J1803" s="9">
        <v>1</v>
      </c>
      <c r="K1803" s="9">
        <v>345</v>
      </c>
      <c r="L1803" s="9">
        <v>2022</v>
      </c>
      <c r="M1803" s="8" t="s">
        <v>10407</v>
      </c>
      <c r="N1803" s="8" t="s">
        <v>42</v>
      </c>
      <c r="O1803" s="8" t="s">
        <v>189</v>
      </c>
      <c r="P1803" s="6" t="s">
        <v>44</v>
      </c>
      <c r="Q1803" s="8" t="s">
        <v>287</v>
      </c>
      <c r="R1803" s="10" t="s">
        <v>10408</v>
      </c>
      <c r="S1803" s="11"/>
      <c r="T1803" s="6"/>
      <c r="U1803" s="24" t="str">
        <f>HYPERLINK("https://media.infra-m.ru/1865/1865742/cover/1865742.jpg", "Обложка")</f>
        <v>Обложка</v>
      </c>
      <c r="V1803" s="12"/>
      <c r="W1803" s="8"/>
      <c r="X1803" s="6"/>
      <c r="Y1803" s="6"/>
      <c r="Z1803" s="6"/>
      <c r="AA1803" s="6" t="s">
        <v>111</v>
      </c>
      <c r="AB1803" s="8"/>
    </row>
    <row r="1804" spans="1:28" s="4" customFormat="1" ht="51.95" customHeight="1">
      <c r="A1804" s="5">
        <v>0</v>
      </c>
      <c r="B1804" s="6" t="s">
        <v>10409</v>
      </c>
      <c r="C1804" s="7">
        <v>3564</v>
      </c>
      <c r="D1804" s="8" t="s">
        <v>10410</v>
      </c>
      <c r="E1804" s="8" t="s">
        <v>10411</v>
      </c>
      <c r="F1804" s="8" t="s">
        <v>413</v>
      </c>
      <c r="G1804" s="6" t="s">
        <v>132</v>
      </c>
      <c r="H1804" s="6" t="s">
        <v>99</v>
      </c>
      <c r="I1804" s="8"/>
      <c r="J1804" s="9">
        <v>1</v>
      </c>
      <c r="K1804" s="9">
        <v>532</v>
      </c>
      <c r="L1804" s="9">
        <v>2025</v>
      </c>
      <c r="M1804" s="8" t="s">
        <v>10412</v>
      </c>
      <c r="N1804" s="8" t="s">
        <v>42</v>
      </c>
      <c r="O1804" s="8" t="s">
        <v>101</v>
      </c>
      <c r="P1804" s="6" t="s">
        <v>44</v>
      </c>
      <c r="Q1804" s="8" t="s">
        <v>45</v>
      </c>
      <c r="R1804" s="10" t="s">
        <v>10413</v>
      </c>
      <c r="S1804" s="11"/>
      <c r="T1804" s="6"/>
      <c r="U1804" s="24" t="str">
        <f>HYPERLINK("https://media.infra-m.ru/2213/2213425/cover/2213425.jpg", "Обложка")</f>
        <v>Обложка</v>
      </c>
      <c r="V1804" s="12"/>
      <c r="W1804" s="8"/>
      <c r="X1804" s="6"/>
      <c r="Y1804" s="6"/>
      <c r="Z1804" s="6"/>
      <c r="AA1804" s="6" t="s">
        <v>159</v>
      </c>
      <c r="AB1804" s="8"/>
    </row>
    <row r="1805" spans="1:28" s="4" customFormat="1" ht="44.1" customHeight="1">
      <c r="A1805" s="5">
        <v>0</v>
      </c>
      <c r="B1805" s="6" t="s">
        <v>10414</v>
      </c>
      <c r="C1805" s="7">
        <v>1140</v>
      </c>
      <c r="D1805" s="8" t="s">
        <v>10415</v>
      </c>
      <c r="E1805" s="8" t="s">
        <v>10416</v>
      </c>
      <c r="F1805" s="8" t="s">
        <v>590</v>
      </c>
      <c r="G1805" s="6" t="s">
        <v>38</v>
      </c>
      <c r="H1805" s="6" t="s">
        <v>39</v>
      </c>
      <c r="I1805" s="8" t="s">
        <v>40</v>
      </c>
      <c r="J1805" s="9">
        <v>1</v>
      </c>
      <c r="K1805" s="9">
        <v>172</v>
      </c>
      <c r="L1805" s="9">
        <v>2026</v>
      </c>
      <c r="M1805" s="8" t="s">
        <v>10417</v>
      </c>
      <c r="N1805" s="8" t="s">
        <v>229</v>
      </c>
      <c r="O1805" s="8" t="s">
        <v>230</v>
      </c>
      <c r="P1805" s="6" t="s">
        <v>44</v>
      </c>
      <c r="Q1805" s="8" t="s">
        <v>45</v>
      </c>
      <c r="R1805" s="10" t="s">
        <v>10418</v>
      </c>
      <c r="S1805" s="11"/>
      <c r="T1805" s="6"/>
      <c r="U1805" s="24" t="str">
        <f>HYPERLINK("https://media.infra-m.ru/2227/2227945/cover/2227945.jpg", "Обложка")</f>
        <v>Обложка</v>
      </c>
      <c r="V1805" s="24" t="str">
        <f>HYPERLINK("https://znanium.ru/catalog/product/2227945", "Ознакомиться")</f>
        <v>Ознакомиться</v>
      </c>
      <c r="W1805" s="8" t="s">
        <v>593</v>
      </c>
      <c r="X1805" s="6"/>
      <c r="Y1805" s="6"/>
      <c r="Z1805" s="6"/>
      <c r="AA1805" s="6" t="s">
        <v>119</v>
      </c>
      <c r="AB1805" s="8"/>
    </row>
    <row r="1806" spans="1:28" s="4" customFormat="1" ht="51.95" customHeight="1">
      <c r="A1806" s="5">
        <v>0</v>
      </c>
      <c r="B1806" s="6" t="s">
        <v>10419</v>
      </c>
      <c r="C1806" s="7">
        <v>1392</v>
      </c>
      <c r="D1806" s="8" t="s">
        <v>10420</v>
      </c>
      <c r="E1806" s="8" t="s">
        <v>10421</v>
      </c>
      <c r="F1806" s="8" t="s">
        <v>10422</v>
      </c>
      <c r="G1806" s="6" t="s">
        <v>38</v>
      </c>
      <c r="H1806" s="6" t="s">
        <v>39</v>
      </c>
      <c r="I1806" s="8" t="s">
        <v>40</v>
      </c>
      <c r="J1806" s="9">
        <v>1</v>
      </c>
      <c r="K1806" s="9">
        <v>224</v>
      </c>
      <c r="L1806" s="9">
        <v>2025</v>
      </c>
      <c r="M1806" s="8" t="s">
        <v>10423</v>
      </c>
      <c r="N1806" s="8" t="s">
        <v>42</v>
      </c>
      <c r="O1806" s="8" t="s">
        <v>189</v>
      </c>
      <c r="P1806" s="6" t="s">
        <v>44</v>
      </c>
      <c r="Q1806" s="8" t="s">
        <v>45</v>
      </c>
      <c r="R1806" s="10" t="s">
        <v>10424</v>
      </c>
      <c r="S1806" s="11"/>
      <c r="T1806" s="6"/>
      <c r="U1806" s="24" t="str">
        <f>HYPERLINK("https://media.infra-m.ru/2198/2198338/cover/2198338.jpg", "Обложка")</f>
        <v>Обложка</v>
      </c>
      <c r="V1806" s="24" t="str">
        <f>HYPERLINK("https://znanium.ru/catalog/product/2198338", "Ознакомиться")</f>
        <v>Ознакомиться</v>
      </c>
      <c r="W1806" s="8" t="s">
        <v>10425</v>
      </c>
      <c r="X1806" s="6"/>
      <c r="Y1806" s="6"/>
      <c r="Z1806" s="6"/>
      <c r="AA1806" s="6" t="s">
        <v>127</v>
      </c>
      <c r="AB1806" s="8"/>
    </row>
    <row r="1807" spans="1:28" s="4" customFormat="1" ht="51.95" customHeight="1">
      <c r="A1807" s="5">
        <v>0</v>
      </c>
      <c r="B1807" s="6" t="s">
        <v>10426</v>
      </c>
      <c r="C1807" s="7">
        <v>1068</v>
      </c>
      <c r="D1807" s="8" t="s">
        <v>10427</v>
      </c>
      <c r="E1807" s="8" t="s">
        <v>10428</v>
      </c>
      <c r="F1807" s="8" t="s">
        <v>7169</v>
      </c>
      <c r="G1807" s="6" t="s">
        <v>132</v>
      </c>
      <c r="H1807" s="6" t="s">
        <v>39</v>
      </c>
      <c r="I1807" s="8" t="s">
        <v>40</v>
      </c>
      <c r="J1807" s="9">
        <v>1</v>
      </c>
      <c r="K1807" s="9">
        <v>162</v>
      </c>
      <c r="L1807" s="9">
        <v>2025</v>
      </c>
      <c r="M1807" s="8" t="s">
        <v>10429</v>
      </c>
      <c r="N1807" s="8" t="s">
        <v>42</v>
      </c>
      <c r="O1807" s="8" t="s">
        <v>189</v>
      </c>
      <c r="P1807" s="6" t="s">
        <v>44</v>
      </c>
      <c r="Q1807" s="8" t="s">
        <v>45</v>
      </c>
      <c r="R1807" s="10" t="s">
        <v>10430</v>
      </c>
      <c r="S1807" s="11"/>
      <c r="T1807" s="6"/>
      <c r="U1807" s="24" t="str">
        <f>HYPERLINK("https://media.infra-m.ru/2198/2198493/cover/2198493.jpg", "Обложка")</f>
        <v>Обложка</v>
      </c>
      <c r="V1807" s="24" t="str">
        <f>HYPERLINK("https://znanium.ru/catalog/product/2198493", "Ознакомиться")</f>
        <v>Ознакомиться</v>
      </c>
      <c r="W1807" s="8" t="s">
        <v>1119</v>
      </c>
      <c r="X1807" s="6" t="s">
        <v>320</v>
      </c>
      <c r="Y1807" s="6"/>
      <c r="Z1807" s="6"/>
      <c r="AA1807" s="6" t="s">
        <v>159</v>
      </c>
      <c r="AB1807" s="8"/>
    </row>
    <row r="1808" spans="1:28" s="4" customFormat="1" ht="42" customHeight="1">
      <c r="A1808" s="5">
        <v>0</v>
      </c>
      <c r="B1808" s="6" t="s">
        <v>10431</v>
      </c>
      <c r="C1808" s="7">
        <v>1020</v>
      </c>
      <c r="D1808" s="8" t="s">
        <v>10432</v>
      </c>
      <c r="E1808" s="8" t="s">
        <v>10433</v>
      </c>
      <c r="F1808" s="8" t="s">
        <v>10434</v>
      </c>
      <c r="G1808" s="6" t="s">
        <v>38</v>
      </c>
      <c r="H1808" s="6" t="s">
        <v>39</v>
      </c>
      <c r="I1808" s="8" t="s">
        <v>40</v>
      </c>
      <c r="J1808" s="9">
        <v>1</v>
      </c>
      <c r="K1808" s="9">
        <v>172</v>
      </c>
      <c r="L1808" s="9">
        <v>2023</v>
      </c>
      <c r="M1808" s="8" t="s">
        <v>10435</v>
      </c>
      <c r="N1808" s="8" t="s">
        <v>42</v>
      </c>
      <c r="O1808" s="8" t="s">
        <v>1035</v>
      </c>
      <c r="P1808" s="6" t="s">
        <v>44</v>
      </c>
      <c r="Q1808" s="8" t="s">
        <v>45</v>
      </c>
      <c r="R1808" s="10" t="s">
        <v>10436</v>
      </c>
      <c r="S1808" s="11"/>
      <c r="T1808" s="6"/>
      <c r="U1808" s="24" t="str">
        <f>HYPERLINK("https://media.infra-m.ru/1977/1977989/cover/1977989.jpg", "Обложка")</f>
        <v>Обложка</v>
      </c>
      <c r="V1808" s="24" t="str">
        <f>HYPERLINK("https://znanium.ru/catalog/product/1977989", "Ознакомиться")</f>
        <v>Ознакомиться</v>
      </c>
      <c r="W1808" s="8" t="s">
        <v>10437</v>
      </c>
      <c r="X1808" s="6"/>
      <c r="Y1808" s="6"/>
      <c r="Z1808" s="6"/>
      <c r="AA1808" s="6" t="s">
        <v>119</v>
      </c>
      <c r="AB1808" s="8"/>
    </row>
    <row r="1809" spans="1:28" s="4" customFormat="1" ht="51.95" customHeight="1">
      <c r="A1809" s="5">
        <v>0</v>
      </c>
      <c r="B1809" s="6" t="s">
        <v>10438</v>
      </c>
      <c r="C1809" s="7">
        <v>1008</v>
      </c>
      <c r="D1809" s="8" t="s">
        <v>10439</v>
      </c>
      <c r="E1809" s="8" t="s">
        <v>10440</v>
      </c>
      <c r="F1809" s="8" t="s">
        <v>1662</v>
      </c>
      <c r="G1809" s="6" t="s">
        <v>38</v>
      </c>
      <c r="H1809" s="6" t="s">
        <v>39</v>
      </c>
      <c r="I1809" s="8" t="s">
        <v>40</v>
      </c>
      <c r="J1809" s="9">
        <v>1</v>
      </c>
      <c r="K1809" s="9">
        <v>179</v>
      </c>
      <c r="L1809" s="9">
        <v>2024</v>
      </c>
      <c r="M1809" s="8" t="s">
        <v>10441</v>
      </c>
      <c r="N1809" s="8" t="s">
        <v>42</v>
      </c>
      <c r="O1809" s="8" t="s">
        <v>189</v>
      </c>
      <c r="P1809" s="6" t="s">
        <v>44</v>
      </c>
      <c r="Q1809" s="8" t="s">
        <v>45</v>
      </c>
      <c r="R1809" s="10" t="s">
        <v>10442</v>
      </c>
      <c r="S1809" s="11"/>
      <c r="T1809" s="6"/>
      <c r="U1809" s="24" t="str">
        <f>HYPERLINK("https://media.infra-m.ru/1907/1907551/cover/1907551.jpg", "Обложка")</f>
        <v>Обложка</v>
      </c>
      <c r="V1809" s="24" t="str">
        <f>HYPERLINK("https://znanium.ru/catalog/product/1907551", "Ознакомиться")</f>
        <v>Ознакомиться</v>
      </c>
      <c r="W1809" s="8" t="s">
        <v>732</v>
      </c>
      <c r="X1809" s="6"/>
      <c r="Y1809" s="6"/>
      <c r="Z1809" s="6"/>
      <c r="AA1809" s="6" t="s">
        <v>339</v>
      </c>
      <c r="AB1809" s="8"/>
    </row>
    <row r="1810" spans="1:28" s="4" customFormat="1" ht="44.1" customHeight="1">
      <c r="A1810" s="5">
        <v>0</v>
      </c>
      <c r="B1810" s="6" t="s">
        <v>10443</v>
      </c>
      <c r="C1810" s="13">
        <v>924</v>
      </c>
      <c r="D1810" s="8" t="s">
        <v>10444</v>
      </c>
      <c r="E1810" s="8" t="s">
        <v>10445</v>
      </c>
      <c r="F1810" s="8" t="s">
        <v>10446</v>
      </c>
      <c r="G1810" s="6" t="s">
        <v>38</v>
      </c>
      <c r="H1810" s="6" t="s">
        <v>39</v>
      </c>
      <c r="I1810" s="8" t="s">
        <v>40</v>
      </c>
      <c r="J1810" s="9">
        <v>1</v>
      </c>
      <c r="K1810" s="9">
        <v>170</v>
      </c>
      <c r="L1810" s="9">
        <v>2023</v>
      </c>
      <c r="M1810" s="8" t="s">
        <v>10447</v>
      </c>
      <c r="N1810" s="8" t="s">
        <v>42</v>
      </c>
      <c r="O1810" s="8" t="s">
        <v>155</v>
      </c>
      <c r="P1810" s="6" t="s">
        <v>44</v>
      </c>
      <c r="Q1810" s="8" t="s">
        <v>45</v>
      </c>
      <c r="R1810" s="10" t="s">
        <v>3865</v>
      </c>
      <c r="S1810" s="11"/>
      <c r="T1810" s="6"/>
      <c r="U1810" s="24" t="str">
        <f>HYPERLINK("https://media.infra-m.ru/1976/1976166/cover/1976166.jpg", "Обложка")</f>
        <v>Обложка</v>
      </c>
      <c r="V1810" s="24" t="str">
        <f>HYPERLINK("https://znanium.ru/catalog/product/1976166", "Ознакомиться")</f>
        <v>Ознакомиться</v>
      </c>
      <c r="W1810" s="8" t="s">
        <v>232</v>
      </c>
      <c r="X1810" s="6"/>
      <c r="Y1810" s="6"/>
      <c r="Z1810" s="6"/>
      <c r="AA1810" s="6" t="s">
        <v>168</v>
      </c>
      <c r="AB1810" s="8"/>
    </row>
    <row r="1811" spans="1:28" s="4" customFormat="1" ht="51.95" customHeight="1">
      <c r="A1811" s="5">
        <v>0</v>
      </c>
      <c r="B1811" s="6" t="s">
        <v>10448</v>
      </c>
      <c r="C1811" s="7">
        <v>1049.9000000000001</v>
      </c>
      <c r="D1811" s="8" t="s">
        <v>10449</v>
      </c>
      <c r="E1811" s="8" t="s">
        <v>10450</v>
      </c>
      <c r="F1811" s="8" t="s">
        <v>10451</v>
      </c>
      <c r="G1811" s="6" t="s">
        <v>132</v>
      </c>
      <c r="H1811" s="6" t="s">
        <v>571</v>
      </c>
      <c r="I1811" s="8"/>
      <c r="J1811" s="9">
        <v>1</v>
      </c>
      <c r="K1811" s="9">
        <v>256</v>
      </c>
      <c r="L1811" s="9">
        <v>2019</v>
      </c>
      <c r="M1811" s="8" t="s">
        <v>10452</v>
      </c>
      <c r="N1811" s="8" t="s">
        <v>42</v>
      </c>
      <c r="O1811" s="8" t="s">
        <v>246</v>
      </c>
      <c r="P1811" s="6" t="s">
        <v>44</v>
      </c>
      <c r="Q1811" s="8" t="s">
        <v>45</v>
      </c>
      <c r="R1811" s="10" t="s">
        <v>10453</v>
      </c>
      <c r="S1811" s="11"/>
      <c r="T1811" s="6"/>
      <c r="U1811" s="24" t="str">
        <f>HYPERLINK("https://media.infra-m.ru/1012/1012445/cover/1012445.jpg", "Обложка")</f>
        <v>Обложка</v>
      </c>
      <c r="V1811" s="24" t="str">
        <f>HYPERLINK("https://znanium.ru/catalog/product/1012445", "Ознакомиться")</f>
        <v>Ознакомиться</v>
      </c>
      <c r="W1811" s="8" t="s">
        <v>167</v>
      </c>
      <c r="X1811" s="6"/>
      <c r="Y1811" s="6"/>
      <c r="Z1811" s="6"/>
      <c r="AA1811" s="6" t="s">
        <v>127</v>
      </c>
      <c r="AB1811" s="8"/>
    </row>
    <row r="1812" spans="1:28" s="4" customFormat="1" ht="44.1" customHeight="1">
      <c r="A1812" s="5">
        <v>0</v>
      </c>
      <c r="B1812" s="6" t="s">
        <v>10454</v>
      </c>
      <c r="C1812" s="13">
        <v>768</v>
      </c>
      <c r="D1812" s="8" t="s">
        <v>10455</v>
      </c>
      <c r="E1812" s="8" t="s">
        <v>10456</v>
      </c>
      <c r="F1812" s="8" t="s">
        <v>10457</v>
      </c>
      <c r="G1812" s="6" t="s">
        <v>38</v>
      </c>
      <c r="H1812" s="6" t="s">
        <v>39</v>
      </c>
      <c r="I1812" s="8" t="s">
        <v>40</v>
      </c>
      <c r="J1812" s="9">
        <v>1</v>
      </c>
      <c r="K1812" s="9">
        <v>116</v>
      </c>
      <c r="L1812" s="9">
        <v>2026</v>
      </c>
      <c r="M1812" s="8" t="s">
        <v>10458</v>
      </c>
      <c r="N1812" s="8" t="s">
        <v>42</v>
      </c>
      <c r="O1812" s="8" t="s">
        <v>1002</v>
      </c>
      <c r="P1812" s="6" t="s">
        <v>44</v>
      </c>
      <c r="Q1812" s="8" t="s">
        <v>45</v>
      </c>
      <c r="R1812" s="10" t="s">
        <v>10459</v>
      </c>
      <c r="S1812" s="11"/>
      <c r="T1812" s="6"/>
      <c r="U1812" s="24" t="str">
        <f>HYPERLINK("https://media.infra-m.ru/2224/2224086/cover/2224086.jpg", "Обложка")</f>
        <v>Обложка</v>
      </c>
      <c r="V1812" s="24" t="str">
        <f>HYPERLINK("https://znanium.ru/catalog/product/2224086", "Ознакомиться")</f>
        <v>Ознакомиться</v>
      </c>
      <c r="W1812" s="8"/>
      <c r="X1812" s="6"/>
      <c r="Y1812" s="6"/>
      <c r="Z1812" s="6"/>
      <c r="AA1812" s="6" t="s">
        <v>127</v>
      </c>
      <c r="AB1812" s="8"/>
    </row>
    <row r="1813" spans="1:28" s="4" customFormat="1" ht="51.95" customHeight="1">
      <c r="A1813" s="5">
        <v>0</v>
      </c>
      <c r="B1813" s="6" t="s">
        <v>10460</v>
      </c>
      <c r="C1813" s="7">
        <v>1152</v>
      </c>
      <c r="D1813" s="8" t="s">
        <v>10461</v>
      </c>
      <c r="E1813" s="8" t="s">
        <v>10462</v>
      </c>
      <c r="F1813" s="8" t="s">
        <v>10463</v>
      </c>
      <c r="G1813" s="6" t="s">
        <v>132</v>
      </c>
      <c r="H1813" s="6" t="s">
        <v>39</v>
      </c>
      <c r="I1813" s="8" t="s">
        <v>40</v>
      </c>
      <c r="J1813" s="9">
        <v>1</v>
      </c>
      <c r="K1813" s="9">
        <v>193</v>
      </c>
      <c r="L1813" s="9">
        <v>2025</v>
      </c>
      <c r="M1813" s="8" t="s">
        <v>10464</v>
      </c>
      <c r="N1813" s="8" t="s">
        <v>42</v>
      </c>
      <c r="O1813" s="8" t="s">
        <v>189</v>
      </c>
      <c r="P1813" s="6" t="s">
        <v>44</v>
      </c>
      <c r="Q1813" s="8" t="s">
        <v>45</v>
      </c>
      <c r="R1813" s="10" t="s">
        <v>10465</v>
      </c>
      <c r="S1813" s="11"/>
      <c r="T1813" s="6"/>
      <c r="U1813" s="24" t="str">
        <f>HYPERLINK("https://media.infra-m.ru/2131/2131312/cover/2131312.jpg", "Обложка")</f>
        <v>Обложка</v>
      </c>
      <c r="V1813" s="24" t="str">
        <f>HYPERLINK("https://znanium.ru/catalog/product/2131312", "Ознакомиться")</f>
        <v>Ознакомиться</v>
      </c>
      <c r="W1813" s="8" t="s">
        <v>10466</v>
      </c>
      <c r="X1813" s="6"/>
      <c r="Y1813" s="6"/>
      <c r="Z1813" s="6"/>
      <c r="AA1813" s="6" t="s">
        <v>159</v>
      </c>
      <c r="AB1813" s="8"/>
    </row>
    <row r="1814" spans="1:28" s="4" customFormat="1" ht="51.95" customHeight="1">
      <c r="A1814" s="5">
        <v>0</v>
      </c>
      <c r="B1814" s="6" t="s">
        <v>10467</v>
      </c>
      <c r="C1814" s="7">
        <v>1404</v>
      </c>
      <c r="D1814" s="8" t="s">
        <v>10468</v>
      </c>
      <c r="E1814" s="8" t="s">
        <v>10469</v>
      </c>
      <c r="F1814" s="8" t="s">
        <v>10470</v>
      </c>
      <c r="G1814" s="6" t="s">
        <v>81</v>
      </c>
      <c r="H1814" s="6" t="s">
        <v>39</v>
      </c>
      <c r="I1814" s="8" t="s">
        <v>40</v>
      </c>
      <c r="J1814" s="9">
        <v>1</v>
      </c>
      <c r="K1814" s="9">
        <v>253</v>
      </c>
      <c r="L1814" s="9">
        <v>2024</v>
      </c>
      <c r="M1814" s="8" t="s">
        <v>10471</v>
      </c>
      <c r="N1814" s="8" t="s">
        <v>42</v>
      </c>
      <c r="O1814" s="8" t="s">
        <v>189</v>
      </c>
      <c r="P1814" s="6" t="s">
        <v>44</v>
      </c>
      <c r="Q1814" s="8" t="s">
        <v>45</v>
      </c>
      <c r="R1814" s="10" t="s">
        <v>10472</v>
      </c>
      <c r="S1814" s="11"/>
      <c r="T1814" s="6"/>
      <c r="U1814" s="24" t="str">
        <f>HYPERLINK("https://media.infra-m.ru/2117/2117174/cover/2117174.jpg", "Обложка")</f>
        <v>Обложка</v>
      </c>
      <c r="V1814" s="24" t="str">
        <f>HYPERLINK("https://znanium.ru/catalog/product/2117174", "Ознакомиться")</f>
        <v>Ознакомиться</v>
      </c>
      <c r="W1814" s="8" t="s">
        <v>1119</v>
      </c>
      <c r="X1814" s="6"/>
      <c r="Y1814" s="6"/>
      <c r="Z1814" s="6"/>
      <c r="AA1814" s="6" t="s">
        <v>199</v>
      </c>
      <c r="AB1814" s="8"/>
    </row>
    <row r="1815" spans="1:28" s="4" customFormat="1" ht="42" customHeight="1">
      <c r="A1815" s="5">
        <v>0</v>
      </c>
      <c r="B1815" s="6" t="s">
        <v>10473</v>
      </c>
      <c r="C1815" s="7">
        <v>1968</v>
      </c>
      <c r="D1815" s="8" t="s">
        <v>10474</v>
      </c>
      <c r="E1815" s="8" t="s">
        <v>10475</v>
      </c>
      <c r="F1815" s="8" t="s">
        <v>10476</v>
      </c>
      <c r="G1815" s="6" t="s">
        <v>81</v>
      </c>
      <c r="H1815" s="6" t="s">
        <v>39</v>
      </c>
      <c r="I1815" s="8" t="s">
        <v>336</v>
      </c>
      <c r="J1815" s="9">
        <v>1</v>
      </c>
      <c r="K1815" s="9">
        <v>432</v>
      </c>
      <c r="L1815" s="9">
        <v>2021</v>
      </c>
      <c r="M1815" s="8" t="s">
        <v>10477</v>
      </c>
      <c r="N1815" s="8" t="s">
        <v>42</v>
      </c>
      <c r="O1815" s="8" t="s">
        <v>101</v>
      </c>
      <c r="P1815" s="6" t="s">
        <v>44</v>
      </c>
      <c r="Q1815" s="8" t="s">
        <v>45</v>
      </c>
      <c r="R1815" s="10" t="s">
        <v>10478</v>
      </c>
      <c r="S1815" s="11"/>
      <c r="T1815" s="6"/>
      <c r="U1815" s="24" t="str">
        <f>HYPERLINK("https://media.infra-m.ru/1668/1668630/cover/1668630.jpg", "Обложка")</f>
        <v>Обложка</v>
      </c>
      <c r="V1815" s="24" t="str">
        <f>HYPERLINK("https://znanium.ru/catalog/product/1160970", "Ознакомиться")</f>
        <v>Ознакомиться</v>
      </c>
      <c r="W1815" s="8" t="s">
        <v>103</v>
      </c>
      <c r="X1815" s="6"/>
      <c r="Y1815" s="6"/>
      <c r="Z1815" s="6"/>
      <c r="AA1815" s="6" t="s">
        <v>168</v>
      </c>
      <c r="AB1815" s="8"/>
    </row>
    <row r="1816" spans="1:28" s="4" customFormat="1" ht="51.95" customHeight="1">
      <c r="A1816" s="5">
        <v>0</v>
      </c>
      <c r="B1816" s="6" t="s">
        <v>10479</v>
      </c>
      <c r="C1816" s="7">
        <v>2076</v>
      </c>
      <c r="D1816" s="8" t="s">
        <v>10480</v>
      </c>
      <c r="E1816" s="8" t="s">
        <v>10481</v>
      </c>
      <c r="F1816" s="8" t="s">
        <v>10482</v>
      </c>
      <c r="G1816" s="6" t="s">
        <v>132</v>
      </c>
      <c r="H1816" s="6" t="s">
        <v>39</v>
      </c>
      <c r="I1816" s="8" t="s">
        <v>40</v>
      </c>
      <c r="J1816" s="9">
        <v>1</v>
      </c>
      <c r="K1816" s="9">
        <v>384</v>
      </c>
      <c r="L1816" s="9">
        <v>2023</v>
      </c>
      <c r="M1816" s="8" t="s">
        <v>10483</v>
      </c>
      <c r="N1816" s="8" t="s">
        <v>220</v>
      </c>
      <c r="O1816" s="8" t="s">
        <v>252</v>
      </c>
      <c r="P1816" s="6" t="s">
        <v>44</v>
      </c>
      <c r="Q1816" s="8" t="s">
        <v>45</v>
      </c>
      <c r="R1816" s="10" t="s">
        <v>10484</v>
      </c>
      <c r="S1816" s="11"/>
      <c r="T1816" s="6"/>
      <c r="U1816" s="24" t="str">
        <f>HYPERLINK("https://media.infra-m.ru/1898/1898400/cover/1898400.jpg", "Обложка")</f>
        <v>Обложка</v>
      </c>
      <c r="V1816" s="24" t="str">
        <f>HYPERLINK("https://znanium.ru/catalog/product/1898400", "Ознакомиться")</f>
        <v>Ознакомиться</v>
      </c>
      <c r="W1816" s="8" t="s">
        <v>298</v>
      </c>
      <c r="X1816" s="6"/>
      <c r="Y1816" s="6"/>
      <c r="Z1816" s="6"/>
      <c r="AA1816" s="6" t="s">
        <v>119</v>
      </c>
      <c r="AB1816" s="8" t="s">
        <v>1697</v>
      </c>
    </row>
    <row r="1817" spans="1:28" s="4" customFormat="1" ht="42" customHeight="1">
      <c r="A1817" s="5">
        <v>0</v>
      </c>
      <c r="B1817" s="6" t="s">
        <v>10485</v>
      </c>
      <c r="C1817" s="13">
        <v>856.8</v>
      </c>
      <c r="D1817" s="8" t="s">
        <v>10486</v>
      </c>
      <c r="E1817" s="8" t="s">
        <v>10487</v>
      </c>
      <c r="F1817" s="8" t="s">
        <v>10488</v>
      </c>
      <c r="G1817" s="6" t="s">
        <v>38</v>
      </c>
      <c r="H1817" s="6" t="s">
        <v>39</v>
      </c>
      <c r="I1817" s="8" t="s">
        <v>40</v>
      </c>
      <c r="J1817" s="9">
        <v>1</v>
      </c>
      <c r="K1817" s="9">
        <v>149</v>
      </c>
      <c r="L1817" s="9">
        <v>2024</v>
      </c>
      <c r="M1817" s="8" t="s">
        <v>10489</v>
      </c>
      <c r="N1817" s="8" t="s">
        <v>54</v>
      </c>
      <c r="O1817" s="8" t="s">
        <v>91</v>
      </c>
      <c r="P1817" s="6" t="s">
        <v>44</v>
      </c>
      <c r="Q1817" s="8" t="s">
        <v>45</v>
      </c>
      <c r="R1817" s="10" t="s">
        <v>1677</v>
      </c>
      <c r="S1817" s="11"/>
      <c r="T1817" s="6"/>
      <c r="U1817" s="24" t="str">
        <f>HYPERLINK("https://media.infra-m.ru/2052/2052446/cover/2052446.jpg", "Обложка")</f>
        <v>Обложка</v>
      </c>
      <c r="V1817" s="24" t="str">
        <f>HYPERLINK("https://znanium.ru/catalog/product/2052446", "Ознакомиться")</f>
        <v>Ознакомиться</v>
      </c>
      <c r="W1817" s="8" t="s">
        <v>10490</v>
      </c>
      <c r="X1817" s="6"/>
      <c r="Y1817" s="6"/>
      <c r="Z1817" s="6"/>
      <c r="AA1817" s="6" t="s">
        <v>68</v>
      </c>
      <c r="AB1817" s="8"/>
    </row>
    <row r="1818" spans="1:28" s="4" customFormat="1" ht="42" customHeight="1">
      <c r="A1818" s="5">
        <v>0</v>
      </c>
      <c r="B1818" s="6" t="s">
        <v>10491</v>
      </c>
      <c r="C1818" s="7">
        <v>1308</v>
      </c>
      <c r="D1818" s="8" t="s">
        <v>10492</v>
      </c>
      <c r="E1818" s="8" t="s">
        <v>10493</v>
      </c>
      <c r="F1818" s="8" t="s">
        <v>4526</v>
      </c>
      <c r="G1818" s="6" t="s">
        <v>132</v>
      </c>
      <c r="H1818" s="6" t="s">
        <v>39</v>
      </c>
      <c r="I1818" s="8" t="s">
        <v>40</v>
      </c>
      <c r="J1818" s="9">
        <v>1</v>
      </c>
      <c r="K1818" s="9">
        <v>200</v>
      </c>
      <c r="L1818" s="9">
        <v>2025</v>
      </c>
      <c r="M1818" s="8" t="s">
        <v>10494</v>
      </c>
      <c r="N1818" s="8" t="s">
        <v>284</v>
      </c>
      <c r="O1818" s="8" t="s">
        <v>2265</v>
      </c>
      <c r="P1818" s="6" t="s">
        <v>44</v>
      </c>
      <c r="Q1818" s="8" t="s">
        <v>45</v>
      </c>
      <c r="R1818" s="10" t="s">
        <v>4689</v>
      </c>
      <c r="S1818" s="11"/>
      <c r="T1818" s="6"/>
      <c r="U1818" s="24" t="str">
        <f>HYPERLINK("https://media.infra-m.ru/2180/2180377/cover/2180377.jpg", "Обложка")</f>
        <v>Обложка</v>
      </c>
      <c r="V1818" s="24" t="str">
        <f>HYPERLINK("https://znanium.ru/catalog/product/2180377", "Ознакомиться")</f>
        <v>Ознакомиться</v>
      </c>
      <c r="W1818" s="8" t="s">
        <v>289</v>
      </c>
      <c r="X1818" s="6" t="s">
        <v>306</v>
      </c>
      <c r="Y1818" s="6"/>
      <c r="Z1818" s="6"/>
      <c r="AA1818" s="6" t="s">
        <v>159</v>
      </c>
      <c r="AB1818" s="8"/>
    </row>
    <row r="1819" spans="1:28" s="4" customFormat="1" ht="42" customHeight="1">
      <c r="A1819" s="5">
        <v>0</v>
      </c>
      <c r="B1819" s="6" t="s">
        <v>10495</v>
      </c>
      <c r="C1819" s="7">
        <v>3952.8</v>
      </c>
      <c r="D1819" s="8" t="s">
        <v>10496</v>
      </c>
      <c r="E1819" s="8" t="s">
        <v>10497</v>
      </c>
      <c r="F1819" s="8" t="s">
        <v>10498</v>
      </c>
      <c r="G1819" s="6" t="s">
        <v>132</v>
      </c>
      <c r="H1819" s="6" t="s">
        <v>39</v>
      </c>
      <c r="I1819" s="8" t="s">
        <v>336</v>
      </c>
      <c r="J1819" s="9">
        <v>1</v>
      </c>
      <c r="K1819" s="9">
        <v>600</v>
      </c>
      <c r="L1819" s="9">
        <v>2026</v>
      </c>
      <c r="M1819" s="8" t="s">
        <v>10499</v>
      </c>
      <c r="N1819" s="8" t="s">
        <v>42</v>
      </c>
      <c r="O1819" s="8" t="s">
        <v>246</v>
      </c>
      <c r="P1819" s="6" t="s">
        <v>44</v>
      </c>
      <c r="Q1819" s="8" t="s">
        <v>45</v>
      </c>
      <c r="R1819" s="10" t="s">
        <v>2490</v>
      </c>
      <c r="S1819" s="11"/>
      <c r="T1819" s="6"/>
      <c r="U1819" s="24" t="str">
        <f>HYPERLINK("https://media.infra-m.ru/2231/2231193/cover/2231193.jpg", "Обложка")</f>
        <v>Обложка</v>
      </c>
      <c r="V1819" s="24" t="str">
        <f>HYPERLINK("https://znanium.ru/catalog/product/2230987", "Ознакомиться")</f>
        <v>Ознакомиться</v>
      </c>
      <c r="W1819" s="8" t="s">
        <v>103</v>
      </c>
      <c r="X1819" s="6"/>
      <c r="Y1819" s="6"/>
      <c r="Z1819" s="6"/>
      <c r="AA1819" s="6" t="s">
        <v>119</v>
      </c>
      <c r="AB1819" s="8"/>
    </row>
    <row r="1820" spans="1:28" s="4" customFormat="1" ht="42" customHeight="1">
      <c r="A1820" s="5">
        <v>0</v>
      </c>
      <c r="B1820" s="6" t="s">
        <v>10500</v>
      </c>
      <c r="C1820" s="7">
        <v>1500</v>
      </c>
      <c r="D1820" s="8" t="s">
        <v>10501</v>
      </c>
      <c r="E1820" s="8" t="s">
        <v>10502</v>
      </c>
      <c r="F1820" s="8" t="s">
        <v>10503</v>
      </c>
      <c r="G1820" s="6" t="s">
        <v>38</v>
      </c>
      <c r="H1820" s="6" t="s">
        <v>39</v>
      </c>
      <c r="I1820" s="8" t="s">
        <v>40</v>
      </c>
      <c r="J1820" s="9">
        <v>1</v>
      </c>
      <c r="K1820" s="9">
        <v>319</v>
      </c>
      <c r="L1820" s="9">
        <v>2022</v>
      </c>
      <c r="M1820" s="8" t="s">
        <v>10504</v>
      </c>
      <c r="N1820" s="8" t="s">
        <v>284</v>
      </c>
      <c r="O1820" s="8" t="s">
        <v>285</v>
      </c>
      <c r="P1820" s="6" t="s">
        <v>44</v>
      </c>
      <c r="Q1820" s="8" t="s">
        <v>45</v>
      </c>
      <c r="R1820" s="10" t="s">
        <v>7431</v>
      </c>
      <c r="S1820" s="11"/>
      <c r="T1820" s="6"/>
      <c r="U1820" s="24" t="str">
        <f>HYPERLINK("https://media.infra-m.ru/1218/1218150/cover/1218150.jpg", "Обложка")</f>
        <v>Обложка</v>
      </c>
      <c r="V1820" s="24" t="str">
        <f>HYPERLINK("https://znanium.ru/catalog/product/1218150", "Ознакомиться")</f>
        <v>Ознакомиться</v>
      </c>
      <c r="W1820" s="8" t="s">
        <v>2080</v>
      </c>
      <c r="X1820" s="6"/>
      <c r="Y1820" s="6"/>
      <c r="Z1820" s="6"/>
      <c r="AA1820" s="6" t="s">
        <v>111</v>
      </c>
      <c r="AB1820" s="8"/>
    </row>
    <row r="1821" spans="1:28" s="4" customFormat="1" ht="51.95" customHeight="1">
      <c r="A1821" s="5">
        <v>0</v>
      </c>
      <c r="B1821" s="6" t="s">
        <v>10505</v>
      </c>
      <c r="C1821" s="7">
        <v>1752</v>
      </c>
      <c r="D1821" s="8" t="s">
        <v>10506</v>
      </c>
      <c r="E1821" s="8" t="s">
        <v>10507</v>
      </c>
      <c r="F1821" s="8" t="s">
        <v>10508</v>
      </c>
      <c r="G1821" s="6" t="s">
        <v>38</v>
      </c>
      <c r="H1821" s="6" t="s">
        <v>39</v>
      </c>
      <c r="I1821" s="8" t="s">
        <v>40</v>
      </c>
      <c r="J1821" s="9">
        <v>1</v>
      </c>
      <c r="K1821" s="9">
        <v>309</v>
      </c>
      <c r="L1821" s="9">
        <v>2024</v>
      </c>
      <c r="M1821" s="8" t="s">
        <v>10509</v>
      </c>
      <c r="N1821" s="8" t="s">
        <v>42</v>
      </c>
      <c r="O1821" s="8" t="s">
        <v>189</v>
      </c>
      <c r="P1821" s="6" t="s">
        <v>44</v>
      </c>
      <c r="Q1821" s="8" t="s">
        <v>45</v>
      </c>
      <c r="R1821" s="10" t="s">
        <v>10510</v>
      </c>
      <c r="S1821" s="11"/>
      <c r="T1821" s="6"/>
      <c r="U1821" s="24" t="str">
        <f>HYPERLINK("https://media.infra-m.ru/2155/2155755/cover/2155755.jpg", "Обложка")</f>
        <v>Обложка</v>
      </c>
      <c r="V1821" s="24" t="str">
        <f>HYPERLINK("https://znanium.ru/catalog/product/2155755", "Ознакомиться")</f>
        <v>Ознакомиться</v>
      </c>
      <c r="W1821" s="8" t="s">
        <v>167</v>
      </c>
      <c r="X1821" s="6"/>
      <c r="Y1821" s="6"/>
      <c r="Z1821" s="6"/>
      <c r="AA1821" s="6" t="s">
        <v>339</v>
      </c>
      <c r="AB1821" s="8" t="s">
        <v>653</v>
      </c>
    </row>
    <row r="1822" spans="1:28" s="4" customFormat="1" ht="51.95" customHeight="1">
      <c r="A1822" s="5">
        <v>0</v>
      </c>
      <c r="B1822" s="6" t="s">
        <v>10511</v>
      </c>
      <c r="C1822" s="7">
        <v>1080</v>
      </c>
      <c r="D1822" s="8" t="s">
        <v>10512</v>
      </c>
      <c r="E1822" s="8" t="s">
        <v>10513</v>
      </c>
      <c r="F1822" s="8" t="s">
        <v>10514</v>
      </c>
      <c r="G1822" s="6" t="s">
        <v>132</v>
      </c>
      <c r="H1822" s="6" t="s">
        <v>99</v>
      </c>
      <c r="I1822" s="8"/>
      <c r="J1822" s="9">
        <v>1</v>
      </c>
      <c r="K1822" s="9">
        <v>168</v>
      </c>
      <c r="L1822" s="9">
        <v>2025</v>
      </c>
      <c r="M1822" s="8" t="s">
        <v>10515</v>
      </c>
      <c r="N1822" s="8" t="s">
        <v>42</v>
      </c>
      <c r="O1822" s="8" t="s">
        <v>101</v>
      </c>
      <c r="P1822" s="6" t="s">
        <v>44</v>
      </c>
      <c r="Q1822" s="8" t="s">
        <v>45</v>
      </c>
      <c r="R1822" s="10" t="s">
        <v>10516</v>
      </c>
      <c r="S1822" s="11"/>
      <c r="T1822" s="6"/>
      <c r="U1822" s="24" t="str">
        <f>HYPERLINK("https://media.infra-m.ru/2197/2197983/cover/2197983.jpg", "Обложка")</f>
        <v>Обложка</v>
      </c>
      <c r="V1822" s="24" t="str">
        <f>HYPERLINK("https://znanium.ru/catalog/product/2197983", "Ознакомиться")</f>
        <v>Ознакомиться</v>
      </c>
      <c r="W1822" s="8" t="s">
        <v>418</v>
      </c>
      <c r="X1822" s="6" t="s">
        <v>320</v>
      </c>
      <c r="Y1822" s="6"/>
      <c r="Z1822" s="6"/>
      <c r="AA1822" s="6" t="s">
        <v>159</v>
      </c>
      <c r="AB1822" s="8"/>
    </row>
    <row r="1823" spans="1:28" s="4" customFormat="1" ht="51.95" customHeight="1">
      <c r="A1823" s="5">
        <v>0</v>
      </c>
      <c r="B1823" s="6" t="s">
        <v>10517</v>
      </c>
      <c r="C1823" s="7">
        <v>1756.8</v>
      </c>
      <c r="D1823" s="8" t="s">
        <v>10518</v>
      </c>
      <c r="E1823" s="8" t="s">
        <v>10519</v>
      </c>
      <c r="F1823" s="8" t="s">
        <v>10520</v>
      </c>
      <c r="G1823" s="6" t="s">
        <v>132</v>
      </c>
      <c r="H1823" s="6" t="s">
        <v>39</v>
      </c>
      <c r="I1823" s="8" t="s">
        <v>40</v>
      </c>
      <c r="J1823" s="9">
        <v>1</v>
      </c>
      <c r="K1823" s="9">
        <v>319</v>
      </c>
      <c r="L1823" s="9">
        <v>2024</v>
      </c>
      <c r="M1823" s="8" t="s">
        <v>10521</v>
      </c>
      <c r="N1823" s="8" t="s">
        <v>220</v>
      </c>
      <c r="O1823" s="8" t="s">
        <v>1250</v>
      </c>
      <c r="P1823" s="6" t="s">
        <v>44</v>
      </c>
      <c r="Q1823" s="8" t="s">
        <v>45</v>
      </c>
      <c r="R1823" s="10" t="s">
        <v>10522</v>
      </c>
      <c r="S1823" s="11"/>
      <c r="T1823" s="6"/>
      <c r="U1823" s="24" t="str">
        <f>HYPERLINK("https://media.infra-m.ru/2117/2117150/cover/2117150.jpg", "Обложка")</f>
        <v>Обложка</v>
      </c>
      <c r="V1823" s="24" t="str">
        <f>HYPERLINK("https://znanium.ru/catalog/product/1215350", "Ознакомиться")</f>
        <v>Ознакомиться</v>
      </c>
      <c r="W1823" s="8" t="s">
        <v>191</v>
      </c>
      <c r="X1823" s="6"/>
      <c r="Y1823" s="6"/>
      <c r="Z1823" s="6"/>
      <c r="AA1823" s="6" t="s">
        <v>377</v>
      </c>
      <c r="AB1823" s="8"/>
    </row>
    <row r="1824" spans="1:28" s="4" customFormat="1" ht="42" customHeight="1">
      <c r="A1824" s="5">
        <v>0</v>
      </c>
      <c r="B1824" s="6" t="s">
        <v>10523</v>
      </c>
      <c r="C1824" s="7">
        <v>1768.8</v>
      </c>
      <c r="D1824" s="8" t="s">
        <v>10524</v>
      </c>
      <c r="E1824" s="8" t="s">
        <v>10525</v>
      </c>
      <c r="F1824" s="8" t="s">
        <v>10526</v>
      </c>
      <c r="G1824" s="6" t="s">
        <v>38</v>
      </c>
      <c r="H1824" s="6" t="s">
        <v>39</v>
      </c>
      <c r="I1824" s="8" t="s">
        <v>40</v>
      </c>
      <c r="J1824" s="9">
        <v>1</v>
      </c>
      <c r="K1824" s="9">
        <v>320</v>
      </c>
      <c r="L1824" s="9">
        <v>2024</v>
      </c>
      <c r="M1824" s="8" t="s">
        <v>10527</v>
      </c>
      <c r="N1824" s="8" t="s">
        <v>284</v>
      </c>
      <c r="O1824" s="8" t="s">
        <v>2265</v>
      </c>
      <c r="P1824" s="6" t="s">
        <v>44</v>
      </c>
      <c r="Q1824" s="8" t="s">
        <v>45</v>
      </c>
      <c r="R1824" s="10" t="s">
        <v>10528</v>
      </c>
      <c r="S1824" s="11"/>
      <c r="T1824" s="6" t="s">
        <v>1080</v>
      </c>
      <c r="U1824" s="24" t="str">
        <f>HYPERLINK("https://media.infra-m.ru/2129/2129967/cover/2129967.jpg", "Обложка")</f>
        <v>Обложка</v>
      </c>
      <c r="V1824" s="24" t="str">
        <f>HYPERLINK("https://znanium.ru/catalog/product/1082947", "Ознакомиться")</f>
        <v>Ознакомиться</v>
      </c>
      <c r="W1824" s="8" t="s">
        <v>10529</v>
      </c>
      <c r="X1824" s="6"/>
      <c r="Y1824" s="6"/>
      <c r="Z1824" s="6"/>
      <c r="AA1824" s="6" t="s">
        <v>199</v>
      </c>
      <c r="AB1824" s="8"/>
    </row>
    <row r="1825" spans="1:28" s="4" customFormat="1" ht="42" customHeight="1">
      <c r="A1825" s="5">
        <v>0</v>
      </c>
      <c r="B1825" s="6" t="s">
        <v>10530</v>
      </c>
      <c r="C1825" s="13">
        <v>475.1</v>
      </c>
      <c r="D1825" s="8" t="s">
        <v>10531</v>
      </c>
      <c r="E1825" s="8" t="s">
        <v>10532</v>
      </c>
      <c r="F1825" s="8" t="s">
        <v>3484</v>
      </c>
      <c r="G1825" s="6" t="s">
        <v>132</v>
      </c>
      <c r="H1825" s="6" t="s">
        <v>99</v>
      </c>
      <c r="I1825" s="8"/>
      <c r="J1825" s="14">
        <v>0</v>
      </c>
      <c r="K1825" s="9">
        <v>192</v>
      </c>
      <c r="L1825" s="9">
        <v>2013</v>
      </c>
      <c r="M1825" s="8" t="s">
        <v>10533</v>
      </c>
      <c r="N1825" s="8" t="s">
        <v>42</v>
      </c>
      <c r="O1825" s="8" t="s">
        <v>101</v>
      </c>
      <c r="P1825" s="6" t="s">
        <v>580</v>
      </c>
      <c r="Q1825" s="8" t="s">
        <v>45</v>
      </c>
      <c r="R1825" s="10"/>
      <c r="S1825" s="11"/>
      <c r="T1825" s="6"/>
      <c r="U1825" s="24" t="str">
        <f>HYPERLINK("https://media.infra-m.ru/0765/0765847/cover/765847.jpg", "Обложка")</f>
        <v>Обложка</v>
      </c>
      <c r="V1825" s="12"/>
      <c r="W1825" s="8" t="s">
        <v>418</v>
      </c>
      <c r="X1825" s="6"/>
      <c r="Y1825" s="6"/>
      <c r="Z1825" s="6"/>
      <c r="AA1825" s="6" t="s">
        <v>127</v>
      </c>
      <c r="AB1825" s="8"/>
    </row>
    <row r="1826" spans="1:28" s="4" customFormat="1" ht="42" customHeight="1">
      <c r="A1826" s="5">
        <v>0</v>
      </c>
      <c r="B1826" s="6" t="s">
        <v>10534</v>
      </c>
      <c r="C1826" s="13">
        <v>521.9</v>
      </c>
      <c r="D1826" s="8" t="s">
        <v>10535</v>
      </c>
      <c r="E1826" s="8" t="s">
        <v>10536</v>
      </c>
      <c r="F1826" s="8" t="s">
        <v>10537</v>
      </c>
      <c r="G1826" s="6" t="s">
        <v>38</v>
      </c>
      <c r="H1826" s="6" t="s">
        <v>39</v>
      </c>
      <c r="I1826" s="8" t="s">
        <v>344</v>
      </c>
      <c r="J1826" s="9">
        <v>1</v>
      </c>
      <c r="K1826" s="9">
        <v>123</v>
      </c>
      <c r="L1826" s="9">
        <v>2020</v>
      </c>
      <c r="M1826" s="8" t="s">
        <v>10538</v>
      </c>
      <c r="N1826" s="8" t="s">
        <v>42</v>
      </c>
      <c r="O1826" s="8" t="s">
        <v>65</v>
      </c>
      <c r="P1826" s="6" t="s">
        <v>44</v>
      </c>
      <c r="Q1826" s="8" t="s">
        <v>45</v>
      </c>
      <c r="R1826" s="10"/>
      <c r="S1826" s="11"/>
      <c r="T1826" s="6"/>
      <c r="U1826" s="24" t="str">
        <f>HYPERLINK("https://media.infra-m.ru/1045/1045743/cover/1045743.jpg", "Обложка")</f>
        <v>Обложка</v>
      </c>
      <c r="V1826" s="12"/>
      <c r="W1826" s="8" t="s">
        <v>346</v>
      </c>
      <c r="X1826" s="6"/>
      <c r="Y1826" s="6"/>
      <c r="Z1826" s="6"/>
      <c r="AA1826" s="6" t="s">
        <v>68</v>
      </c>
      <c r="AB1826" s="8"/>
    </row>
    <row r="1827" spans="1:28" s="4" customFormat="1" ht="44.1" customHeight="1">
      <c r="A1827" s="5">
        <v>0</v>
      </c>
      <c r="B1827" s="6" t="s">
        <v>10539</v>
      </c>
      <c r="C1827" s="7">
        <v>1240.8</v>
      </c>
      <c r="D1827" s="8" t="s">
        <v>10540</v>
      </c>
      <c r="E1827" s="8" t="s">
        <v>10541</v>
      </c>
      <c r="F1827" s="8" t="s">
        <v>10542</v>
      </c>
      <c r="G1827" s="6" t="s">
        <v>38</v>
      </c>
      <c r="H1827" s="6" t="s">
        <v>39</v>
      </c>
      <c r="I1827" s="8" t="s">
        <v>164</v>
      </c>
      <c r="J1827" s="9">
        <v>1</v>
      </c>
      <c r="K1827" s="9">
        <v>207</v>
      </c>
      <c r="L1827" s="9">
        <v>2025</v>
      </c>
      <c r="M1827" s="8" t="s">
        <v>10543</v>
      </c>
      <c r="N1827" s="8" t="s">
        <v>42</v>
      </c>
      <c r="O1827" s="8" t="s">
        <v>246</v>
      </c>
      <c r="P1827" s="6" t="s">
        <v>44</v>
      </c>
      <c r="Q1827" s="8" t="s">
        <v>45</v>
      </c>
      <c r="R1827" s="10" t="s">
        <v>502</v>
      </c>
      <c r="S1827" s="11"/>
      <c r="T1827" s="6"/>
      <c r="U1827" s="24" t="str">
        <f>HYPERLINK("https://media.infra-m.ru/2163/2163769/cover/2163769.jpg", "Обложка")</f>
        <v>Обложка</v>
      </c>
      <c r="V1827" s="24" t="str">
        <f>HYPERLINK("https://znanium.ru/catalog/product/2080768", "Ознакомиться")</f>
        <v>Ознакомиться</v>
      </c>
      <c r="W1827" s="8" t="s">
        <v>10544</v>
      </c>
      <c r="X1827" s="6"/>
      <c r="Y1827" s="6"/>
      <c r="Z1827" s="6"/>
      <c r="AA1827" s="6" t="s">
        <v>111</v>
      </c>
      <c r="AB1827" s="8"/>
    </row>
    <row r="1828" spans="1:28" s="4" customFormat="1" ht="51.95" customHeight="1">
      <c r="A1828" s="5">
        <v>0</v>
      </c>
      <c r="B1828" s="6" t="s">
        <v>10545</v>
      </c>
      <c r="C1828" s="13">
        <v>948</v>
      </c>
      <c r="D1828" s="8" t="s">
        <v>10546</v>
      </c>
      <c r="E1828" s="8" t="s">
        <v>10547</v>
      </c>
      <c r="F1828" s="8" t="s">
        <v>10548</v>
      </c>
      <c r="G1828" s="6" t="s">
        <v>38</v>
      </c>
      <c r="H1828" s="6" t="s">
        <v>39</v>
      </c>
      <c r="I1828" s="8" t="s">
        <v>336</v>
      </c>
      <c r="J1828" s="9">
        <v>1</v>
      </c>
      <c r="K1828" s="9">
        <v>176</v>
      </c>
      <c r="L1828" s="9">
        <v>2023</v>
      </c>
      <c r="M1828" s="8" t="s">
        <v>10549</v>
      </c>
      <c r="N1828" s="8" t="s">
        <v>42</v>
      </c>
      <c r="O1828" s="8" t="s">
        <v>101</v>
      </c>
      <c r="P1828" s="6" t="s">
        <v>580</v>
      </c>
      <c r="Q1828" s="8" t="s">
        <v>45</v>
      </c>
      <c r="R1828" s="10" t="s">
        <v>4388</v>
      </c>
      <c r="S1828" s="11"/>
      <c r="T1828" s="6"/>
      <c r="U1828" s="24" t="str">
        <f>HYPERLINK("https://media.infra-m.ru/1897/1897017/cover/1897017.jpg", "Обложка")</f>
        <v>Обложка</v>
      </c>
      <c r="V1828" s="24" t="str">
        <f>HYPERLINK("https://znanium.ru/catalog/product/1897017", "Ознакомиться")</f>
        <v>Ознакомиться</v>
      </c>
      <c r="W1828" s="8"/>
      <c r="X1828" s="6"/>
      <c r="Y1828" s="6"/>
      <c r="Z1828" s="6"/>
      <c r="AA1828" s="6" t="s">
        <v>199</v>
      </c>
      <c r="AB1828" s="8"/>
    </row>
    <row r="1829" spans="1:28" s="4" customFormat="1" ht="42" customHeight="1">
      <c r="A1829" s="5">
        <v>0</v>
      </c>
      <c r="B1829" s="6" t="s">
        <v>10550</v>
      </c>
      <c r="C1829" s="7">
        <v>2868</v>
      </c>
      <c r="D1829" s="8" t="s">
        <v>10551</v>
      </c>
      <c r="E1829" s="8" t="s">
        <v>10552</v>
      </c>
      <c r="F1829" s="8" t="s">
        <v>437</v>
      </c>
      <c r="G1829" s="6" t="s">
        <v>132</v>
      </c>
      <c r="H1829" s="6" t="s">
        <v>39</v>
      </c>
      <c r="I1829" s="8" t="s">
        <v>40</v>
      </c>
      <c r="J1829" s="9">
        <v>1</v>
      </c>
      <c r="K1829" s="9">
        <v>568</v>
      </c>
      <c r="L1829" s="9">
        <v>2024</v>
      </c>
      <c r="M1829" s="8" t="s">
        <v>10553</v>
      </c>
      <c r="N1829" s="8" t="s">
        <v>42</v>
      </c>
      <c r="O1829" s="8" t="s">
        <v>101</v>
      </c>
      <c r="P1829" s="6" t="s">
        <v>44</v>
      </c>
      <c r="Q1829" s="8" t="s">
        <v>45</v>
      </c>
      <c r="R1829" s="10" t="s">
        <v>9175</v>
      </c>
      <c r="S1829" s="11"/>
      <c r="T1829" s="6" t="s">
        <v>1080</v>
      </c>
      <c r="U1829" s="24" t="str">
        <f>HYPERLINK("https://media.infra-m.ru/2106/2106180/cover/2106180.jpg", "Обложка")</f>
        <v>Обложка</v>
      </c>
      <c r="V1829" s="24" t="str">
        <f>HYPERLINK("https://znanium.ru/catalog/product/2106180", "Ознакомиться")</f>
        <v>Ознакомиться</v>
      </c>
      <c r="W1829" s="8" t="s">
        <v>361</v>
      </c>
      <c r="X1829" s="6"/>
      <c r="Y1829" s="6"/>
      <c r="Z1829" s="6"/>
      <c r="AA1829" s="6" t="s">
        <v>58</v>
      </c>
      <c r="AB1829" s="8" t="s">
        <v>634</v>
      </c>
    </row>
    <row r="1830" spans="1:28" s="4" customFormat="1" ht="51.95" customHeight="1">
      <c r="A1830" s="5">
        <v>0</v>
      </c>
      <c r="B1830" s="6" t="s">
        <v>10554</v>
      </c>
      <c r="C1830" s="13">
        <v>940.8</v>
      </c>
      <c r="D1830" s="8" t="s">
        <v>10555</v>
      </c>
      <c r="E1830" s="8" t="s">
        <v>10556</v>
      </c>
      <c r="F1830" s="8" t="s">
        <v>10557</v>
      </c>
      <c r="G1830" s="6" t="s">
        <v>38</v>
      </c>
      <c r="H1830" s="6" t="s">
        <v>39</v>
      </c>
      <c r="I1830" s="8" t="s">
        <v>40</v>
      </c>
      <c r="J1830" s="9">
        <v>1</v>
      </c>
      <c r="K1830" s="9">
        <v>149</v>
      </c>
      <c r="L1830" s="9">
        <v>2026</v>
      </c>
      <c r="M1830" s="8" t="s">
        <v>10558</v>
      </c>
      <c r="N1830" s="8" t="s">
        <v>42</v>
      </c>
      <c r="O1830" s="8" t="s">
        <v>65</v>
      </c>
      <c r="P1830" s="6" t="s">
        <v>44</v>
      </c>
      <c r="Q1830" s="8" t="s">
        <v>45</v>
      </c>
      <c r="R1830" s="10" t="s">
        <v>10559</v>
      </c>
      <c r="S1830" s="11"/>
      <c r="T1830" s="6"/>
      <c r="U1830" s="24" t="str">
        <f>HYPERLINK("https://media.infra-m.ru/2221/2221551/cover/2221551.jpg", "Обложка")</f>
        <v>Обложка</v>
      </c>
      <c r="V1830" s="24" t="str">
        <f>HYPERLINK("https://znanium.ru/catalog/product/2219455", "Ознакомиться")</f>
        <v>Ознакомиться</v>
      </c>
      <c r="W1830" s="8" t="s">
        <v>2080</v>
      </c>
      <c r="X1830" s="6"/>
      <c r="Y1830" s="6"/>
      <c r="Z1830" s="6"/>
      <c r="AA1830" s="6" t="s">
        <v>48</v>
      </c>
      <c r="AB1830" s="8"/>
    </row>
    <row r="1831" spans="1:28" s="4" customFormat="1" ht="44.1" customHeight="1">
      <c r="A1831" s="5">
        <v>0</v>
      </c>
      <c r="B1831" s="6" t="s">
        <v>10560</v>
      </c>
      <c r="C1831" s="7">
        <v>1044</v>
      </c>
      <c r="D1831" s="8" t="s">
        <v>10561</v>
      </c>
      <c r="E1831" s="8" t="s">
        <v>10562</v>
      </c>
      <c r="F1831" s="8" t="s">
        <v>10563</v>
      </c>
      <c r="G1831" s="6" t="s">
        <v>38</v>
      </c>
      <c r="H1831" s="6" t="s">
        <v>39</v>
      </c>
      <c r="I1831" s="8" t="s">
        <v>164</v>
      </c>
      <c r="J1831" s="9">
        <v>1</v>
      </c>
      <c r="K1831" s="9">
        <v>187</v>
      </c>
      <c r="L1831" s="9">
        <v>2024</v>
      </c>
      <c r="M1831" s="8" t="s">
        <v>10564</v>
      </c>
      <c r="N1831" s="8" t="s">
        <v>42</v>
      </c>
      <c r="O1831" s="8" t="s">
        <v>65</v>
      </c>
      <c r="P1831" s="6" t="s">
        <v>44</v>
      </c>
      <c r="Q1831" s="8" t="s">
        <v>45</v>
      </c>
      <c r="R1831" s="10" t="s">
        <v>10565</v>
      </c>
      <c r="S1831" s="11"/>
      <c r="T1831" s="6"/>
      <c r="U1831" s="24" t="str">
        <f>HYPERLINK("https://media.infra-m.ru/2122/2122483/cover/2122483.jpg", "Обложка")</f>
        <v>Обложка</v>
      </c>
      <c r="V1831" s="24" t="str">
        <f>HYPERLINK("https://znanium.ru/catalog/product/2122483", "Ознакомиться")</f>
        <v>Ознакомиться</v>
      </c>
      <c r="W1831" s="8" t="s">
        <v>167</v>
      </c>
      <c r="X1831" s="6"/>
      <c r="Y1831" s="6"/>
      <c r="Z1831" s="6"/>
      <c r="AA1831" s="6" t="s">
        <v>168</v>
      </c>
      <c r="AB1831" s="8"/>
    </row>
    <row r="1832" spans="1:28" s="4" customFormat="1" ht="51.95" customHeight="1">
      <c r="A1832" s="5">
        <v>0</v>
      </c>
      <c r="B1832" s="6" t="s">
        <v>10566</v>
      </c>
      <c r="C1832" s="7">
        <v>1284</v>
      </c>
      <c r="D1832" s="8" t="s">
        <v>10567</v>
      </c>
      <c r="E1832" s="8" t="s">
        <v>10568</v>
      </c>
      <c r="F1832" s="8" t="s">
        <v>10569</v>
      </c>
      <c r="G1832" s="6" t="s">
        <v>38</v>
      </c>
      <c r="H1832" s="6" t="s">
        <v>39</v>
      </c>
      <c r="I1832" s="8" t="s">
        <v>40</v>
      </c>
      <c r="J1832" s="9">
        <v>1</v>
      </c>
      <c r="K1832" s="9">
        <v>238</v>
      </c>
      <c r="L1832" s="9">
        <v>2023</v>
      </c>
      <c r="M1832" s="8" t="s">
        <v>10570</v>
      </c>
      <c r="N1832" s="8" t="s">
        <v>42</v>
      </c>
      <c r="O1832" s="8" t="s">
        <v>101</v>
      </c>
      <c r="P1832" s="6" t="s">
        <v>44</v>
      </c>
      <c r="Q1832" s="8" t="s">
        <v>45</v>
      </c>
      <c r="R1832" s="10" t="s">
        <v>10571</v>
      </c>
      <c r="S1832" s="11"/>
      <c r="T1832" s="6"/>
      <c r="U1832" s="24" t="str">
        <f>HYPERLINK("https://media.infra-m.ru/1911/1911534/cover/1911534.jpg", "Обложка")</f>
        <v>Обложка</v>
      </c>
      <c r="V1832" s="24" t="str">
        <f>HYPERLINK("https://znanium.ru/catalog/product/1911534", "Ознакомиться")</f>
        <v>Ознакомиться</v>
      </c>
      <c r="W1832" s="8" t="s">
        <v>2789</v>
      </c>
      <c r="X1832" s="6"/>
      <c r="Y1832" s="6"/>
      <c r="Z1832" s="6"/>
      <c r="AA1832" s="6" t="s">
        <v>119</v>
      </c>
      <c r="AB1832" s="8"/>
    </row>
    <row r="1833" spans="1:28" s="4" customFormat="1" ht="51.95" customHeight="1">
      <c r="A1833" s="5">
        <v>0</v>
      </c>
      <c r="B1833" s="6" t="s">
        <v>10572</v>
      </c>
      <c r="C1833" s="7">
        <v>1485</v>
      </c>
      <c r="D1833" s="8" t="s">
        <v>10573</v>
      </c>
      <c r="E1833" s="8" t="s">
        <v>10574</v>
      </c>
      <c r="F1833" s="8" t="s">
        <v>10575</v>
      </c>
      <c r="G1833" s="6" t="s">
        <v>132</v>
      </c>
      <c r="H1833" s="6" t="s">
        <v>99</v>
      </c>
      <c r="I1833" s="8"/>
      <c r="J1833" s="9">
        <v>1</v>
      </c>
      <c r="K1833" s="9">
        <v>192</v>
      </c>
      <c r="L1833" s="9">
        <v>2026</v>
      </c>
      <c r="M1833" s="8" t="s">
        <v>10576</v>
      </c>
      <c r="N1833" s="8" t="s">
        <v>42</v>
      </c>
      <c r="O1833" s="8" t="s">
        <v>101</v>
      </c>
      <c r="P1833" s="6" t="s">
        <v>44</v>
      </c>
      <c r="Q1833" s="8" t="s">
        <v>45</v>
      </c>
      <c r="R1833" s="10" t="s">
        <v>2280</v>
      </c>
      <c r="S1833" s="11"/>
      <c r="T1833" s="6"/>
      <c r="U1833" s="24" t="str">
        <f>HYPERLINK("https://media.infra-m.ru/2224/2224615/cover/2224615.jpg", "Обложка")</f>
        <v>Обложка</v>
      </c>
      <c r="V1833" s="24" t="str">
        <f>HYPERLINK("https://znanium.ru/catalog/product/2216230", "Ознакомиться")</f>
        <v>Ознакомиться</v>
      </c>
      <c r="W1833" s="8"/>
      <c r="X1833" s="6"/>
      <c r="Y1833" s="6"/>
      <c r="Z1833" s="6"/>
      <c r="AA1833" s="6" t="s">
        <v>833</v>
      </c>
      <c r="AB1833" s="8"/>
    </row>
    <row r="1834" spans="1:28" s="4" customFormat="1" ht="44.1" customHeight="1">
      <c r="A1834" s="5">
        <v>0</v>
      </c>
      <c r="B1834" s="6" t="s">
        <v>10577</v>
      </c>
      <c r="C1834" s="7">
        <v>1356</v>
      </c>
      <c r="D1834" s="8" t="s">
        <v>10578</v>
      </c>
      <c r="E1834" s="8" t="s">
        <v>10579</v>
      </c>
      <c r="F1834" s="8" t="s">
        <v>10476</v>
      </c>
      <c r="G1834" s="6" t="s">
        <v>81</v>
      </c>
      <c r="H1834" s="6" t="s">
        <v>39</v>
      </c>
      <c r="I1834" s="8" t="s">
        <v>336</v>
      </c>
      <c r="J1834" s="9">
        <v>1</v>
      </c>
      <c r="K1834" s="9">
        <v>320</v>
      </c>
      <c r="L1834" s="9">
        <v>2020</v>
      </c>
      <c r="M1834" s="8" t="s">
        <v>10580</v>
      </c>
      <c r="N1834" s="8" t="s">
        <v>42</v>
      </c>
      <c r="O1834" s="8" t="s">
        <v>101</v>
      </c>
      <c r="P1834" s="6" t="s">
        <v>44</v>
      </c>
      <c r="Q1834" s="8" t="s">
        <v>1152</v>
      </c>
      <c r="R1834" s="10" t="s">
        <v>1536</v>
      </c>
      <c r="S1834" s="11"/>
      <c r="T1834" s="6"/>
      <c r="U1834" s="24" t="str">
        <f>HYPERLINK("https://media.infra-m.ru/1068/1068913/cover/1068913.jpg", "Обложка")</f>
        <v>Обложка</v>
      </c>
      <c r="V1834" s="24" t="str">
        <f>HYPERLINK("https://znanium.ru/catalog/product/1068913", "Ознакомиться")</f>
        <v>Ознакомиться</v>
      </c>
      <c r="W1834" s="8" t="s">
        <v>103</v>
      </c>
      <c r="X1834" s="6"/>
      <c r="Y1834" s="6"/>
      <c r="Z1834" s="6"/>
      <c r="AA1834" s="6" t="s">
        <v>377</v>
      </c>
      <c r="AB1834" s="8"/>
    </row>
    <row r="1835" spans="1:28" s="4" customFormat="1" ht="44.1" customHeight="1">
      <c r="A1835" s="5">
        <v>0</v>
      </c>
      <c r="B1835" s="6" t="s">
        <v>10581</v>
      </c>
      <c r="C1835" s="13">
        <v>940.8</v>
      </c>
      <c r="D1835" s="8" t="s">
        <v>10582</v>
      </c>
      <c r="E1835" s="8" t="s">
        <v>10583</v>
      </c>
      <c r="F1835" s="8" t="s">
        <v>703</v>
      </c>
      <c r="G1835" s="6" t="s">
        <v>38</v>
      </c>
      <c r="H1835" s="6" t="s">
        <v>39</v>
      </c>
      <c r="I1835" s="8" t="s">
        <v>40</v>
      </c>
      <c r="J1835" s="9">
        <v>1</v>
      </c>
      <c r="K1835" s="9">
        <v>172</v>
      </c>
      <c r="L1835" s="9">
        <v>2023</v>
      </c>
      <c r="M1835" s="8" t="s">
        <v>10584</v>
      </c>
      <c r="N1835" s="8" t="s">
        <v>54</v>
      </c>
      <c r="O1835" s="8" t="s">
        <v>55</v>
      </c>
      <c r="P1835" s="6" t="s">
        <v>44</v>
      </c>
      <c r="Q1835" s="8" t="s">
        <v>45</v>
      </c>
      <c r="R1835" s="10" t="s">
        <v>6991</v>
      </c>
      <c r="S1835" s="11"/>
      <c r="T1835" s="6"/>
      <c r="U1835" s="24" t="str">
        <f>HYPERLINK("https://media.infra-m.ru/2006/2006086/cover/2006086.jpg", "Обложка")</f>
        <v>Обложка</v>
      </c>
      <c r="V1835" s="24" t="str">
        <f>HYPERLINK("https://znanium.ru/catalog/product/1070324", "Ознакомиться")</f>
        <v>Ознакомиться</v>
      </c>
      <c r="W1835" s="8" t="s">
        <v>535</v>
      </c>
      <c r="X1835" s="6"/>
      <c r="Y1835" s="6"/>
      <c r="Z1835" s="6"/>
      <c r="AA1835" s="6" t="s">
        <v>68</v>
      </c>
      <c r="AB1835" s="8"/>
    </row>
    <row r="1836" spans="1:28" s="4" customFormat="1" ht="42" customHeight="1">
      <c r="A1836" s="5">
        <v>0</v>
      </c>
      <c r="B1836" s="6" t="s">
        <v>10585</v>
      </c>
      <c r="C1836" s="7">
        <v>1584</v>
      </c>
      <c r="D1836" s="8" t="s">
        <v>10586</v>
      </c>
      <c r="E1836" s="8" t="s">
        <v>10587</v>
      </c>
      <c r="F1836" s="8" t="s">
        <v>10588</v>
      </c>
      <c r="G1836" s="6" t="s">
        <v>132</v>
      </c>
      <c r="H1836" s="6" t="s">
        <v>39</v>
      </c>
      <c r="I1836" s="8" t="s">
        <v>336</v>
      </c>
      <c r="J1836" s="9">
        <v>1</v>
      </c>
      <c r="K1836" s="9">
        <v>264</v>
      </c>
      <c r="L1836" s="9">
        <v>2024</v>
      </c>
      <c r="M1836" s="8" t="s">
        <v>10589</v>
      </c>
      <c r="N1836" s="8" t="s">
        <v>42</v>
      </c>
      <c r="O1836" s="8" t="s">
        <v>101</v>
      </c>
      <c r="P1836" s="6" t="s">
        <v>44</v>
      </c>
      <c r="Q1836" s="8" t="s">
        <v>45</v>
      </c>
      <c r="R1836" s="10" t="s">
        <v>269</v>
      </c>
      <c r="S1836" s="11"/>
      <c r="T1836" s="6"/>
      <c r="U1836" s="24" t="str">
        <f>HYPERLINK("https://media.infra-m.ru/2134/2134598/cover/2134598.jpg", "Обложка")</f>
        <v>Обложка</v>
      </c>
      <c r="V1836" s="24" t="str">
        <f>HYPERLINK("https://znanium.ru/catalog/product/2134598", "Ознакомиться")</f>
        <v>Ознакомиться</v>
      </c>
      <c r="W1836" s="8" t="s">
        <v>103</v>
      </c>
      <c r="X1836" s="6"/>
      <c r="Y1836" s="6"/>
      <c r="Z1836" s="6"/>
      <c r="AA1836" s="6" t="s">
        <v>58</v>
      </c>
      <c r="AB1836" s="8"/>
    </row>
    <row r="1837" spans="1:28" s="4" customFormat="1" ht="51.95" customHeight="1">
      <c r="A1837" s="5">
        <v>0</v>
      </c>
      <c r="B1837" s="6" t="s">
        <v>10590</v>
      </c>
      <c r="C1837" s="13">
        <v>761.9</v>
      </c>
      <c r="D1837" s="8" t="s">
        <v>10591</v>
      </c>
      <c r="E1837" s="8" t="s">
        <v>10592</v>
      </c>
      <c r="F1837" s="8" t="s">
        <v>10593</v>
      </c>
      <c r="G1837" s="6" t="s">
        <v>38</v>
      </c>
      <c r="H1837" s="6" t="s">
        <v>182</v>
      </c>
      <c r="I1837" s="8" t="s">
        <v>40</v>
      </c>
      <c r="J1837" s="9">
        <v>1</v>
      </c>
      <c r="K1837" s="9">
        <v>179</v>
      </c>
      <c r="L1837" s="9">
        <v>2020</v>
      </c>
      <c r="M1837" s="8" t="s">
        <v>10594</v>
      </c>
      <c r="N1837" s="8" t="s">
        <v>42</v>
      </c>
      <c r="O1837" s="8" t="s">
        <v>189</v>
      </c>
      <c r="P1837" s="6" t="s">
        <v>44</v>
      </c>
      <c r="Q1837" s="8" t="s">
        <v>45</v>
      </c>
      <c r="R1837" s="10" t="s">
        <v>9936</v>
      </c>
      <c r="S1837" s="11"/>
      <c r="T1837" s="6" t="s">
        <v>1080</v>
      </c>
      <c r="U1837" s="24" t="str">
        <f>HYPERLINK("https://media.infra-m.ru/1048/1048441/cover/1048441.jpg", "Обложка")</f>
        <v>Обложка</v>
      </c>
      <c r="V1837" s="24" t="str">
        <f>HYPERLINK("https://znanium.ru/catalog/product/1048441", "Ознакомиться")</f>
        <v>Ознакомиться</v>
      </c>
      <c r="W1837" s="8" t="s">
        <v>7045</v>
      </c>
      <c r="X1837" s="6"/>
      <c r="Y1837" s="6"/>
      <c r="Z1837" s="6"/>
      <c r="AA1837" s="6" t="s">
        <v>369</v>
      </c>
      <c r="AB1837" s="8"/>
    </row>
    <row r="1838" spans="1:28" s="4" customFormat="1" ht="42" customHeight="1">
      <c r="A1838" s="5">
        <v>0</v>
      </c>
      <c r="B1838" s="6" t="s">
        <v>10595</v>
      </c>
      <c r="C1838" s="7">
        <v>2620.8000000000002</v>
      </c>
      <c r="D1838" s="8" t="s">
        <v>10596</v>
      </c>
      <c r="E1838" s="8" t="s">
        <v>10597</v>
      </c>
      <c r="F1838" s="8" t="s">
        <v>10598</v>
      </c>
      <c r="G1838" s="6" t="s">
        <v>132</v>
      </c>
      <c r="H1838" s="6" t="s">
        <v>39</v>
      </c>
      <c r="I1838" s="8" t="s">
        <v>40</v>
      </c>
      <c r="J1838" s="9">
        <v>1</v>
      </c>
      <c r="K1838" s="9">
        <v>420</v>
      </c>
      <c r="L1838" s="9">
        <v>2026</v>
      </c>
      <c r="M1838" s="8" t="s">
        <v>10599</v>
      </c>
      <c r="N1838" s="8"/>
      <c r="O1838" s="8"/>
      <c r="P1838" s="6" t="s">
        <v>44</v>
      </c>
      <c r="Q1838" s="8" t="s">
        <v>45</v>
      </c>
      <c r="R1838" s="10" t="s">
        <v>10600</v>
      </c>
      <c r="S1838" s="11"/>
      <c r="T1838" s="6"/>
      <c r="U1838" s="24" t="str">
        <f>HYPERLINK("https://media.infra-m.ru/2191/2191323/cover/2191323.jpg", "Обложка")</f>
        <v>Обложка</v>
      </c>
      <c r="V1838" s="24" t="str">
        <f>HYPERLINK("https://znanium.ru/catalog/product/2189474", "Ознакомиться")</f>
        <v>Ознакомиться</v>
      </c>
      <c r="W1838" s="8" t="s">
        <v>3004</v>
      </c>
      <c r="X1838" s="6"/>
      <c r="Y1838" s="6"/>
      <c r="Z1838" s="6"/>
      <c r="AA1838" s="6" t="s">
        <v>58</v>
      </c>
      <c r="AB1838" s="8"/>
    </row>
    <row r="1839" spans="1:28" s="4" customFormat="1" ht="42" customHeight="1">
      <c r="A1839" s="5">
        <v>0</v>
      </c>
      <c r="B1839" s="6" t="s">
        <v>10601</v>
      </c>
      <c r="C1839" s="7">
        <v>1560</v>
      </c>
      <c r="D1839" s="8" t="s">
        <v>10602</v>
      </c>
      <c r="E1839" s="8" t="s">
        <v>10603</v>
      </c>
      <c r="F1839" s="8" t="s">
        <v>5066</v>
      </c>
      <c r="G1839" s="6" t="s">
        <v>38</v>
      </c>
      <c r="H1839" s="6" t="s">
        <v>39</v>
      </c>
      <c r="I1839" s="8" t="s">
        <v>40</v>
      </c>
      <c r="J1839" s="9">
        <v>1</v>
      </c>
      <c r="K1839" s="9">
        <v>343</v>
      </c>
      <c r="L1839" s="9">
        <v>2022</v>
      </c>
      <c r="M1839" s="8" t="s">
        <v>10604</v>
      </c>
      <c r="N1839" s="8" t="s">
        <v>42</v>
      </c>
      <c r="O1839" s="8" t="s">
        <v>246</v>
      </c>
      <c r="P1839" s="6" t="s">
        <v>44</v>
      </c>
      <c r="Q1839" s="8" t="s">
        <v>45</v>
      </c>
      <c r="R1839" s="10" t="s">
        <v>2503</v>
      </c>
      <c r="S1839" s="11"/>
      <c r="T1839" s="6"/>
      <c r="U1839" s="24" t="str">
        <f>HYPERLINK("https://media.infra-m.ru/1689/1689626/cover/1689626.jpg", "Обложка")</f>
        <v>Обложка</v>
      </c>
      <c r="V1839" s="24" t="str">
        <f>HYPERLINK("https://znanium.ru/catalog/product/1689626", "Ознакомиться")</f>
        <v>Ознакомиться</v>
      </c>
      <c r="W1839" s="8" t="s">
        <v>346</v>
      </c>
      <c r="X1839" s="6"/>
      <c r="Y1839" s="6"/>
      <c r="Z1839" s="6"/>
      <c r="AA1839" s="6" t="s">
        <v>339</v>
      </c>
      <c r="AB1839" s="8"/>
    </row>
    <row r="1840" spans="1:28" s="4" customFormat="1" ht="51.95" customHeight="1">
      <c r="A1840" s="5">
        <v>0</v>
      </c>
      <c r="B1840" s="6" t="s">
        <v>10605</v>
      </c>
      <c r="C1840" s="13">
        <v>948</v>
      </c>
      <c r="D1840" s="8" t="s">
        <v>10606</v>
      </c>
      <c r="E1840" s="8" t="s">
        <v>10607</v>
      </c>
      <c r="F1840" s="8" t="s">
        <v>10608</v>
      </c>
      <c r="G1840" s="6" t="s">
        <v>38</v>
      </c>
      <c r="H1840" s="6" t="s">
        <v>182</v>
      </c>
      <c r="I1840" s="8" t="s">
        <v>40</v>
      </c>
      <c r="J1840" s="9">
        <v>1</v>
      </c>
      <c r="K1840" s="9">
        <v>232</v>
      </c>
      <c r="L1840" s="9">
        <v>2019</v>
      </c>
      <c r="M1840" s="8" t="s">
        <v>10609</v>
      </c>
      <c r="N1840" s="8" t="s">
        <v>42</v>
      </c>
      <c r="O1840" s="8" t="s">
        <v>189</v>
      </c>
      <c r="P1840" s="6" t="s">
        <v>44</v>
      </c>
      <c r="Q1840" s="8" t="s">
        <v>45</v>
      </c>
      <c r="R1840" s="10" t="s">
        <v>10610</v>
      </c>
      <c r="S1840" s="11"/>
      <c r="T1840" s="6" t="s">
        <v>1080</v>
      </c>
      <c r="U1840" s="24" t="str">
        <f>HYPERLINK("https://media.infra-m.ru/0987/0987087/cover/987087.jpg", "Обложка")</f>
        <v>Обложка</v>
      </c>
      <c r="V1840" s="24" t="str">
        <f>HYPERLINK("https://znanium.ru/catalog/product/987087", "Ознакомиться")</f>
        <v>Ознакомиться</v>
      </c>
      <c r="W1840" s="8" t="s">
        <v>167</v>
      </c>
      <c r="X1840" s="6"/>
      <c r="Y1840" s="6"/>
      <c r="Z1840" s="6"/>
      <c r="AA1840" s="6" t="s">
        <v>377</v>
      </c>
      <c r="AB1840" s="8"/>
    </row>
    <row r="1841" spans="1:28" s="4" customFormat="1" ht="51.95" customHeight="1">
      <c r="A1841" s="5">
        <v>0</v>
      </c>
      <c r="B1841" s="6" t="s">
        <v>10611</v>
      </c>
      <c r="C1841" s="7">
        <v>1152</v>
      </c>
      <c r="D1841" s="8" t="s">
        <v>10612</v>
      </c>
      <c r="E1841" s="8" t="s">
        <v>10613</v>
      </c>
      <c r="F1841" s="8" t="s">
        <v>10614</v>
      </c>
      <c r="G1841" s="6" t="s">
        <v>38</v>
      </c>
      <c r="H1841" s="6" t="s">
        <v>39</v>
      </c>
      <c r="I1841" s="8" t="s">
        <v>40</v>
      </c>
      <c r="J1841" s="9">
        <v>1</v>
      </c>
      <c r="K1841" s="9">
        <v>229</v>
      </c>
      <c r="L1841" s="9">
        <v>2022</v>
      </c>
      <c r="M1841" s="8" t="s">
        <v>10615</v>
      </c>
      <c r="N1841" s="8" t="s">
        <v>220</v>
      </c>
      <c r="O1841" s="8" t="s">
        <v>252</v>
      </c>
      <c r="P1841" s="6" t="s">
        <v>44</v>
      </c>
      <c r="Q1841" s="8" t="s">
        <v>45</v>
      </c>
      <c r="R1841" s="10" t="s">
        <v>10616</v>
      </c>
      <c r="S1841" s="11"/>
      <c r="T1841" s="6"/>
      <c r="U1841" s="24" t="str">
        <f>HYPERLINK("https://media.infra-m.ru/1865/1865377/cover/1865377.jpg", "Обложка")</f>
        <v>Обложка</v>
      </c>
      <c r="V1841" s="24" t="str">
        <f>HYPERLINK("https://znanium.ru/catalog/product/1865377", "Ознакомиться")</f>
        <v>Ознакомиться</v>
      </c>
      <c r="W1841" s="8" t="s">
        <v>10617</v>
      </c>
      <c r="X1841" s="6"/>
      <c r="Y1841" s="6"/>
      <c r="Z1841" s="6"/>
      <c r="AA1841" s="6" t="s">
        <v>111</v>
      </c>
      <c r="AB1841" s="8"/>
    </row>
    <row r="1842" spans="1:28" s="4" customFormat="1" ht="51.95" customHeight="1">
      <c r="A1842" s="5">
        <v>0</v>
      </c>
      <c r="B1842" s="6" t="s">
        <v>10618</v>
      </c>
      <c r="C1842" s="13">
        <v>960</v>
      </c>
      <c r="D1842" s="8" t="s">
        <v>10619</v>
      </c>
      <c r="E1842" s="8" t="s">
        <v>10620</v>
      </c>
      <c r="F1842" s="8" t="s">
        <v>10621</v>
      </c>
      <c r="G1842" s="6" t="s">
        <v>132</v>
      </c>
      <c r="H1842" s="6" t="s">
        <v>10622</v>
      </c>
      <c r="I1842" s="8"/>
      <c r="J1842" s="9">
        <v>1</v>
      </c>
      <c r="K1842" s="9">
        <v>208</v>
      </c>
      <c r="L1842" s="9">
        <v>2020</v>
      </c>
      <c r="M1842" s="8" t="s">
        <v>10623</v>
      </c>
      <c r="N1842" s="8" t="s">
        <v>42</v>
      </c>
      <c r="O1842" s="8" t="s">
        <v>189</v>
      </c>
      <c r="P1842" s="6" t="s">
        <v>44</v>
      </c>
      <c r="Q1842" s="8" t="s">
        <v>3762</v>
      </c>
      <c r="R1842" s="10" t="s">
        <v>10624</v>
      </c>
      <c r="S1842" s="11"/>
      <c r="T1842" s="6"/>
      <c r="U1842" s="24" t="str">
        <f>HYPERLINK("https://media.infra-m.ru/1197/1197156/cover/1197156.jpg", "Обложка")</f>
        <v>Обложка</v>
      </c>
      <c r="V1842" s="24" t="str">
        <f>HYPERLINK("https://znanium.ru/catalog/product/1197156", "Ознакомиться")</f>
        <v>Ознакомиться</v>
      </c>
      <c r="W1842" s="8" t="s">
        <v>574</v>
      </c>
      <c r="X1842" s="6"/>
      <c r="Y1842" s="6"/>
      <c r="Z1842" s="6"/>
      <c r="AA1842" s="6" t="s">
        <v>168</v>
      </c>
      <c r="AB1842" s="8"/>
    </row>
    <row r="1843" spans="1:28" s="4" customFormat="1" ht="51.95" customHeight="1">
      <c r="A1843" s="5">
        <v>0</v>
      </c>
      <c r="B1843" s="6" t="s">
        <v>10625</v>
      </c>
      <c r="C1843" s="7">
        <v>1529.9</v>
      </c>
      <c r="D1843" s="8" t="s">
        <v>10626</v>
      </c>
      <c r="E1843" s="8" t="s">
        <v>10627</v>
      </c>
      <c r="F1843" s="8" t="s">
        <v>10628</v>
      </c>
      <c r="G1843" s="6" t="s">
        <v>132</v>
      </c>
      <c r="H1843" s="6" t="s">
        <v>39</v>
      </c>
      <c r="I1843" s="8" t="s">
        <v>40</v>
      </c>
      <c r="J1843" s="9">
        <v>1</v>
      </c>
      <c r="K1843" s="9">
        <v>410</v>
      </c>
      <c r="L1843" s="9">
        <v>2018</v>
      </c>
      <c r="M1843" s="8" t="s">
        <v>10629</v>
      </c>
      <c r="N1843" s="8" t="s">
        <v>42</v>
      </c>
      <c r="O1843" s="8" t="s">
        <v>189</v>
      </c>
      <c r="P1843" s="6" t="s">
        <v>44</v>
      </c>
      <c r="Q1843" s="8" t="s">
        <v>45</v>
      </c>
      <c r="R1843" s="10" t="s">
        <v>10630</v>
      </c>
      <c r="S1843" s="11"/>
      <c r="T1843" s="6"/>
      <c r="U1843" s="24" t="str">
        <f>HYPERLINK("https://media.infra-m.ru/0929/0929652/cover/929652.jpg", "Обложка")</f>
        <v>Обложка</v>
      </c>
      <c r="V1843" s="24" t="str">
        <f>HYPERLINK("https://znanium.ru/catalog/product/1167890", "Ознакомиться")</f>
        <v>Ознакомиться</v>
      </c>
      <c r="W1843" s="8" t="s">
        <v>207</v>
      </c>
      <c r="X1843" s="6"/>
      <c r="Y1843" s="6"/>
      <c r="Z1843" s="6"/>
      <c r="AA1843" s="6" t="s">
        <v>1154</v>
      </c>
      <c r="AB1843" s="8"/>
    </row>
    <row r="1844" spans="1:28" s="4" customFormat="1" ht="51.95" customHeight="1">
      <c r="A1844" s="5">
        <v>0</v>
      </c>
      <c r="B1844" s="6" t="s">
        <v>10631</v>
      </c>
      <c r="C1844" s="7">
        <v>2272.8000000000002</v>
      </c>
      <c r="D1844" s="8" t="s">
        <v>10632</v>
      </c>
      <c r="E1844" s="8" t="s">
        <v>10633</v>
      </c>
      <c r="F1844" s="8" t="s">
        <v>10628</v>
      </c>
      <c r="G1844" s="6" t="s">
        <v>81</v>
      </c>
      <c r="H1844" s="6" t="s">
        <v>39</v>
      </c>
      <c r="I1844" s="8" t="s">
        <v>40</v>
      </c>
      <c r="J1844" s="9">
        <v>1</v>
      </c>
      <c r="K1844" s="9">
        <v>410</v>
      </c>
      <c r="L1844" s="9">
        <v>2024</v>
      </c>
      <c r="M1844" s="8" t="s">
        <v>10629</v>
      </c>
      <c r="N1844" s="8" t="s">
        <v>42</v>
      </c>
      <c r="O1844" s="8" t="s">
        <v>189</v>
      </c>
      <c r="P1844" s="6" t="s">
        <v>44</v>
      </c>
      <c r="Q1844" s="8" t="s">
        <v>45</v>
      </c>
      <c r="R1844" s="10" t="s">
        <v>10630</v>
      </c>
      <c r="S1844" s="11"/>
      <c r="T1844" s="6"/>
      <c r="U1844" s="24" t="str">
        <f>HYPERLINK("https://media.infra-m.ru/2061/2061319/cover/2061319.jpg", "Обложка")</f>
        <v>Обложка</v>
      </c>
      <c r="V1844" s="24" t="str">
        <f>HYPERLINK("https://znanium.ru/catalog/product/1167890", "Ознакомиться")</f>
        <v>Ознакомиться</v>
      </c>
      <c r="W1844" s="8" t="s">
        <v>207</v>
      </c>
      <c r="X1844" s="6"/>
      <c r="Y1844" s="6"/>
      <c r="Z1844" s="6"/>
      <c r="AA1844" s="6" t="s">
        <v>1363</v>
      </c>
      <c r="AB1844" s="8"/>
    </row>
    <row r="1845" spans="1:28" s="4" customFormat="1" ht="51.95" customHeight="1">
      <c r="A1845" s="5">
        <v>0</v>
      </c>
      <c r="B1845" s="6" t="s">
        <v>10634</v>
      </c>
      <c r="C1845" s="7">
        <v>2032.8</v>
      </c>
      <c r="D1845" s="8" t="s">
        <v>10635</v>
      </c>
      <c r="E1845" s="8" t="s">
        <v>10636</v>
      </c>
      <c r="F1845" s="8" t="s">
        <v>10637</v>
      </c>
      <c r="G1845" s="6" t="s">
        <v>132</v>
      </c>
      <c r="H1845" s="6" t="s">
        <v>39</v>
      </c>
      <c r="I1845" s="8" t="s">
        <v>40</v>
      </c>
      <c r="J1845" s="9">
        <v>1</v>
      </c>
      <c r="K1845" s="9">
        <v>325</v>
      </c>
      <c r="L1845" s="9">
        <v>2025</v>
      </c>
      <c r="M1845" s="8" t="s">
        <v>10638</v>
      </c>
      <c r="N1845" s="8" t="s">
        <v>42</v>
      </c>
      <c r="O1845" s="8" t="s">
        <v>189</v>
      </c>
      <c r="P1845" s="6" t="s">
        <v>44</v>
      </c>
      <c r="Q1845" s="8" t="s">
        <v>45</v>
      </c>
      <c r="R1845" s="10" t="s">
        <v>10639</v>
      </c>
      <c r="S1845" s="11"/>
      <c r="T1845" s="6"/>
      <c r="U1845" s="24" t="str">
        <f>HYPERLINK("https://media.infra-m.ru/2151/2151391/cover/2151391.jpg", "Обложка")</f>
        <v>Обложка</v>
      </c>
      <c r="V1845" s="24" t="str">
        <f>HYPERLINK("https://znanium.ru/catalog/product/2033416", "Ознакомиться")</f>
        <v>Ознакомиться</v>
      </c>
      <c r="W1845" s="8" t="s">
        <v>1119</v>
      </c>
      <c r="X1845" s="6"/>
      <c r="Y1845" s="6"/>
      <c r="Z1845" s="6"/>
      <c r="AA1845" s="6" t="s">
        <v>119</v>
      </c>
      <c r="AB1845" s="8"/>
    </row>
    <row r="1846" spans="1:28" s="4" customFormat="1" ht="42" customHeight="1">
      <c r="A1846" s="5">
        <v>0</v>
      </c>
      <c r="B1846" s="6" t="s">
        <v>10640</v>
      </c>
      <c r="C1846" s="7">
        <v>1176</v>
      </c>
      <c r="D1846" s="8" t="s">
        <v>10641</v>
      </c>
      <c r="E1846" s="8" t="s">
        <v>10642</v>
      </c>
      <c r="F1846" s="8" t="s">
        <v>172</v>
      </c>
      <c r="G1846" s="6" t="s">
        <v>81</v>
      </c>
      <c r="H1846" s="6" t="s">
        <v>39</v>
      </c>
      <c r="I1846" s="8" t="s">
        <v>40</v>
      </c>
      <c r="J1846" s="9">
        <v>1</v>
      </c>
      <c r="K1846" s="9">
        <v>257</v>
      </c>
      <c r="L1846" s="9">
        <v>2022</v>
      </c>
      <c r="M1846" s="8" t="s">
        <v>10643</v>
      </c>
      <c r="N1846" s="8" t="s">
        <v>42</v>
      </c>
      <c r="O1846" s="8" t="s">
        <v>43</v>
      </c>
      <c r="P1846" s="6" t="s">
        <v>44</v>
      </c>
      <c r="Q1846" s="8" t="s">
        <v>45</v>
      </c>
      <c r="R1846" s="10" t="s">
        <v>10644</v>
      </c>
      <c r="S1846" s="11"/>
      <c r="T1846" s="6"/>
      <c r="U1846" s="24" t="str">
        <f>HYPERLINK("https://media.infra-m.ru/1740/1740729/cover/1740729.jpg", "Обложка")</f>
        <v>Обложка</v>
      </c>
      <c r="V1846" s="24" t="str">
        <f>HYPERLINK("https://znanium.ru/catalog/product/1045804", "Ознакомиться")</f>
        <v>Ознакомиться</v>
      </c>
      <c r="W1846" s="8" t="s">
        <v>176</v>
      </c>
      <c r="X1846" s="6"/>
      <c r="Y1846" s="6"/>
      <c r="Z1846" s="6"/>
      <c r="AA1846" s="6" t="s">
        <v>369</v>
      </c>
      <c r="AB1846" s="8"/>
    </row>
    <row r="1847" spans="1:28" s="4" customFormat="1" ht="44.1" customHeight="1">
      <c r="A1847" s="5">
        <v>0</v>
      </c>
      <c r="B1847" s="6" t="s">
        <v>10645</v>
      </c>
      <c r="C1847" s="13">
        <v>708</v>
      </c>
      <c r="D1847" s="8" t="s">
        <v>10646</v>
      </c>
      <c r="E1847" s="8" t="s">
        <v>10647</v>
      </c>
      <c r="F1847" s="8" t="s">
        <v>10648</v>
      </c>
      <c r="G1847" s="6" t="s">
        <v>38</v>
      </c>
      <c r="H1847" s="6" t="s">
        <v>39</v>
      </c>
      <c r="I1847" s="8" t="s">
        <v>40</v>
      </c>
      <c r="J1847" s="9">
        <v>1</v>
      </c>
      <c r="K1847" s="9">
        <v>164</v>
      </c>
      <c r="L1847" s="9">
        <v>2020</v>
      </c>
      <c r="M1847" s="8" t="s">
        <v>10649</v>
      </c>
      <c r="N1847" s="8" t="s">
        <v>42</v>
      </c>
      <c r="O1847" s="8" t="s">
        <v>65</v>
      </c>
      <c r="P1847" s="6" t="s">
        <v>44</v>
      </c>
      <c r="Q1847" s="8" t="s">
        <v>45</v>
      </c>
      <c r="R1847" s="10" t="s">
        <v>4522</v>
      </c>
      <c r="S1847" s="11"/>
      <c r="T1847" s="6"/>
      <c r="U1847" s="24" t="str">
        <f>HYPERLINK("https://media.infra-m.ru/1048/1048128/cover/1048128.jpg", "Обложка")</f>
        <v>Обложка</v>
      </c>
      <c r="V1847" s="24" t="str">
        <f>HYPERLINK("https://znanium.ru/catalog/product/1048128", "Ознакомиться")</f>
        <v>Ознакомиться</v>
      </c>
      <c r="W1847" s="8" t="s">
        <v>9917</v>
      </c>
      <c r="X1847" s="6"/>
      <c r="Y1847" s="6"/>
      <c r="Z1847" s="6"/>
      <c r="AA1847" s="6" t="s">
        <v>168</v>
      </c>
      <c r="AB1847" s="8"/>
    </row>
    <row r="1848" spans="1:28" s="4" customFormat="1" ht="51.95" customHeight="1">
      <c r="A1848" s="5">
        <v>0</v>
      </c>
      <c r="B1848" s="6" t="s">
        <v>10650</v>
      </c>
      <c r="C1848" s="7">
        <v>1200</v>
      </c>
      <c r="D1848" s="8" t="s">
        <v>10651</v>
      </c>
      <c r="E1848" s="8" t="s">
        <v>10652</v>
      </c>
      <c r="F1848" s="8" t="s">
        <v>10653</v>
      </c>
      <c r="G1848" s="6" t="s">
        <v>38</v>
      </c>
      <c r="H1848" s="6" t="s">
        <v>39</v>
      </c>
      <c r="I1848" s="8" t="s">
        <v>40</v>
      </c>
      <c r="J1848" s="9">
        <v>1</v>
      </c>
      <c r="K1848" s="9">
        <v>217</v>
      </c>
      <c r="L1848" s="9">
        <v>2024</v>
      </c>
      <c r="M1848" s="8" t="s">
        <v>10654</v>
      </c>
      <c r="N1848" s="8" t="s">
        <v>42</v>
      </c>
      <c r="O1848" s="8" t="s">
        <v>101</v>
      </c>
      <c r="P1848" s="6" t="s">
        <v>44</v>
      </c>
      <c r="Q1848" s="8" t="s">
        <v>45</v>
      </c>
      <c r="R1848" s="10" t="s">
        <v>10655</v>
      </c>
      <c r="S1848" s="11"/>
      <c r="T1848" s="6"/>
      <c r="U1848" s="24" t="str">
        <f>HYPERLINK("https://media.infra-m.ru/2132/2132476/cover/2132476.jpg", "Обложка")</f>
        <v>Обложка</v>
      </c>
      <c r="V1848" s="24" t="str">
        <f>HYPERLINK("https://znanium.ru/catalog/product/2132476", "Ознакомиться")</f>
        <v>Ознакомиться</v>
      </c>
      <c r="W1848" s="8" t="s">
        <v>1126</v>
      </c>
      <c r="X1848" s="6"/>
      <c r="Y1848" s="6"/>
      <c r="Z1848" s="6"/>
      <c r="AA1848" s="6" t="s">
        <v>199</v>
      </c>
      <c r="AB1848" s="8"/>
    </row>
    <row r="1849" spans="1:28" s="4" customFormat="1" ht="51.95" customHeight="1">
      <c r="A1849" s="5">
        <v>0</v>
      </c>
      <c r="B1849" s="6" t="s">
        <v>10656</v>
      </c>
      <c r="C1849" s="7">
        <v>1536</v>
      </c>
      <c r="D1849" s="8" t="s">
        <v>10657</v>
      </c>
      <c r="E1849" s="8" t="s">
        <v>10658</v>
      </c>
      <c r="F1849" s="8" t="s">
        <v>10659</v>
      </c>
      <c r="G1849" s="6" t="s">
        <v>38</v>
      </c>
      <c r="H1849" s="6" t="s">
        <v>1019</v>
      </c>
      <c r="I1849" s="8" t="s">
        <v>1020</v>
      </c>
      <c r="J1849" s="9">
        <v>1</v>
      </c>
      <c r="K1849" s="9">
        <v>256</v>
      </c>
      <c r="L1849" s="9">
        <v>2025</v>
      </c>
      <c r="M1849" s="8" t="s">
        <v>10660</v>
      </c>
      <c r="N1849" s="8" t="s">
        <v>42</v>
      </c>
      <c r="O1849" s="8" t="s">
        <v>246</v>
      </c>
      <c r="P1849" s="6" t="s">
        <v>44</v>
      </c>
      <c r="Q1849" s="8" t="s">
        <v>45</v>
      </c>
      <c r="R1849" s="10" t="s">
        <v>10661</v>
      </c>
      <c r="S1849" s="11"/>
      <c r="T1849" s="6"/>
      <c r="U1849" s="24" t="str">
        <f>HYPERLINK("https://media.infra-m.ru/2188/2188296/cover/2188296.jpg", "Обложка")</f>
        <v>Обложка</v>
      </c>
      <c r="V1849" s="24" t="str">
        <f>HYPERLINK("https://znanium.ru/catalog/product/2188296", "Ознакомиться")</f>
        <v>Ознакомиться</v>
      </c>
      <c r="W1849" s="8"/>
      <c r="X1849" s="6"/>
      <c r="Y1849" s="6"/>
      <c r="Z1849" s="6"/>
      <c r="AA1849" s="6" t="s">
        <v>369</v>
      </c>
      <c r="AB1849" s="8"/>
    </row>
    <row r="1850" spans="1:28" s="4" customFormat="1" ht="42" customHeight="1">
      <c r="A1850" s="5">
        <v>0</v>
      </c>
      <c r="B1850" s="6" t="s">
        <v>10662</v>
      </c>
      <c r="C1850" s="13">
        <v>996</v>
      </c>
      <c r="D1850" s="8" t="s">
        <v>10663</v>
      </c>
      <c r="E1850" s="8" t="s">
        <v>10664</v>
      </c>
      <c r="F1850" s="8" t="s">
        <v>10665</v>
      </c>
      <c r="G1850" s="6" t="s">
        <v>81</v>
      </c>
      <c r="H1850" s="6" t="s">
        <v>39</v>
      </c>
      <c r="I1850" s="8" t="s">
        <v>40</v>
      </c>
      <c r="J1850" s="9">
        <v>1</v>
      </c>
      <c r="K1850" s="9">
        <v>158</v>
      </c>
      <c r="L1850" s="9">
        <v>2025</v>
      </c>
      <c r="M1850" s="8" t="s">
        <v>10666</v>
      </c>
      <c r="N1850" s="8" t="s">
        <v>42</v>
      </c>
      <c r="O1850" s="8" t="s">
        <v>1035</v>
      </c>
      <c r="P1850" s="6" t="s">
        <v>44</v>
      </c>
      <c r="Q1850" s="8" t="s">
        <v>45</v>
      </c>
      <c r="R1850" s="10" t="s">
        <v>10667</v>
      </c>
      <c r="S1850" s="11"/>
      <c r="T1850" s="6"/>
      <c r="U1850" s="24" t="str">
        <f>HYPERLINK("https://media.infra-m.ru/2204/2204282/cover/2204282.jpg", "Обложка")</f>
        <v>Обложка</v>
      </c>
      <c r="V1850" s="24" t="str">
        <f>HYPERLINK("https://znanium.ru/catalog/product/2204282", "Ознакомиться")</f>
        <v>Ознакомиться</v>
      </c>
      <c r="W1850" s="8" t="s">
        <v>10668</v>
      </c>
      <c r="X1850" s="6"/>
      <c r="Y1850" s="6"/>
      <c r="Z1850" s="6"/>
      <c r="AA1850" s="6" t="s">
        <v>339</v>
      </c>
      <c r="AB1850" s="8"/>
    </row>
    <row r="1851" spans="1:28" s="4" customFormat="1" ht="42" customHeight="1">
      <c r="A1851" s="5">
        <v>0</v>
      </c>
      <c r="B1851" s="6" t="s">
        <v>10669</v>
      </c>
      <c r="C1851" s="7">
        <v>1216.8</v>
      </c>
      <c r="D1851" s="8" t="s">
        <v>10670</v>
      </c>
      <c r="E1851" s="8" t="s">
        <v>10671</v>
      </c>
      <c r="F1851" s="8" t="s">
        <v>10672</v>
      </c>
      <c r="G1851" s="6" t="s">
        <v>38</v>
      </c>
      <c r="H1851" s="6" t="s">
        <v>39</v>
      </c>
      <c r="I1851" s="8" t="s">
        <v>40</v>
      </c>
      <c r="J1851" s="9">
        <v>1</v>
      </c>
      <c r="K1851" s="9">
        <v>194</v>
      </c>
      <c r="L1851" s="9">
        <v>2025</v>
      </c>
      <c r="M1851" s="8" t="s">
        <v>10673</v>
      </c>
      <c r="N1851" s="8" t="s">
        <v>284</v>
      </c>
      <c r="O1851" s="8" t="s">
        <v>717</v>
      </c>
      <c r="P1851" s="6" t="s">
        <v>44</v>
      </c>
      <c r="Q1851" s="8" t="s">
        <v>45</v>
      </c>
      <c r="R1851" s="10" t="s">
        <v>718</v>
      </c>
      <c r="S1851" s="11"/>
      <c r="T1851" s="6"/>
      <c r="U1851" s="24" t="str">
        <f>HYPERLINK("https://media.infra-m.ru/2197/2197592/cover/2197592.jpg", "Обложка")</f>
        <v>Обложка</v>
      </c>
      <c r="V1851" s="24" t="str">
        <f>HYPERLINK("https://znanium.ru/catalog/product/1042292", "Ознакомиться")</f>
        <v>Ознакомиться</v>
      </c>
      <c r="W1851" s="8" t="s">
        <v>10674</v>
      </c>
      <c r="X1851" s="6"/>
      <c r="Y1851" s="6"/>
      <c r="Z1851" s="6"/>
      <c r="AA1851" s="6" t="s">
        <v>168</v>
      </c>
      <c r="AB1851" s="8"/>
    </row>
    <row r="1852" spans="1:28" s="4" customFormat="1" ht="51.95" customHeight="1">
      <c r="A1852" s="5">
        <v>0</v>
      </c>
      <c r="B1852" s="6" t="s">
        <v>10675</v>
      </c>
      <c r="C1852" s="7">
        <v>1253.9000000000001</v>
      </c>
      <c r="D1852" s="8" t="s">
        <v>10676</v>
      </c>
      <c r="E1852" s="8" t="s">
        <v>10677</v>
      </c>
      <c r="F1852" s="8" t="s">
        <v>10678</v>
      </c>
      <c r="G1852" s="6" t="s">
        <v>38</v>
      </c>
      <c r="H1852" s="6" t="s">
        <v>39</v>
      </c>
      <c r="I1852" s="8" t="s">
        <v>40</v>
      </c>
      <c r="J1852" s="9">
        <v>1</v>
      </c>
      <c r="K1852" s="9">
        <v>232</v>
      </c>
      <c r="L1852" s="9">
        <v>2023</v>
      </c>
      <c r="M1852" s="8" t="s">
        <v>10679</v>
      </c>
      <c r="N1852" s="8" t="s">
        <v>42</v>
      </c>
      <c r="O1852" s="8" t="s">
        <v>246</v>
      </c>
      <c r="P1852" s="6" t="s">
        <v>44</v>
      </c>
      <c r="Q1852" s="8" t="s">
        <v>45</v>
      </c>
      <c r="R1852" s="10" t="s">
        <v>10680</v>
      </c>
      <c r="S1852" s="11"/>
      <c r="T1852" s="6"/>
      <c r="U1852" s="24" t="str">
        <f>HYPERLINK("https://media.infra-m.ru/2045/2045793/cover/2045793.jpg", "Обложка")</f>
        <v>Обложка</v>
      </c>
      <c r="V1852" s="24" t="str">
        <f>HYPERLINK("https://znanium.ru/catalog/product/1021441", "Ознакомиться")</f>
        <v>Ознакомиться</v>
      </c>
      <c r="W1852" s="8" t="s">
        <v>1049</v>
      </c>
      <c r="X1852" s="6"/>
      <c r="Y1852" s="6"/>
      <c r="Z1852" s="6"/>
      <c r="AA1852" s="6" t="s">
        <v>1050</v>
      </c>
      <c r="AB1852" s="8"/>
    </row>
    <row r="1853" spans="1:28" s="4" customFormat="1" ht="51.95" customHeight="1">
      <c r="A1853" s="5">
        <v>0</v>
      </c>
      <c r="B1853" s="6" t="s">
        <v>10681</v>
      </c>
      <c r="C1853" s="7">
        <v>1188</v>
      </c>
      <c r="D1853" s="8" t="s">
        <v>10682</v>
      </c>
      <c r="E1853" s="8" t="s">
        <v>10683</v>
      </c>
      <c r="F1853" s="8" t="s">
        <v>10684</v>
      </c>
      <c r="G1853" s="6" t="s">
        <v>132</v>
      </c>
      <c r="H1853" s="6" t="s">
        <v>99</v>
      </c>
      <c r="I1853" s="8"/>
      <c r="J1853" s="9">
        <v>1</v>
      </c>
      <c r="K1853" s="9">
        <v>192</v>
      </c>
      <c r="L1853" s="9">
        <v>2025</v>
      </c>
      <c r="M1853" s="8" t="s">
        <v>10685</v>
      </c>
      <c r="N1853" s="8" t="s">
        <v>42</v>
      </c>
      <c r="O1853" s="8" t="s">
        <v>101</v>
      </c>
      <c r="P1853" s="6" t="s">
        <v>44</v>
      </c>
      <c r="Q1853" s="8" t="s">
        <v>45</v>
      </c>
      <c r="R1853" s="10" t="s">
        <v>10686</v>
      </c>
      <c r="S1853" s="11"/>
      <c r="T1853" s="6"/>
      <c r="U1853" s="24" t="str">
        <f>HYPERLINK("https://media.infra-m.ru/2168/2168285/cover/2168285.jpg", "Обложка")</f>
        <v>Обложка</v>
      </c>
      <c r="V1853" s="24" t="str">
        <f>HYPERLINK("https://znanium.ru/catalog/product/2168285", "Ознакомиться")</f>
        <v>Ознакомиться</v>
      </c>
      <c r="W1853" s="8" t="s">
        <v>418</v>
      </c>
      <c r="X1853" s="6"/>
      <c r="Y1853" s="6"/>
      <c r="Z1853" s="6"/>
      <c r="AA1853" s="6" t="s">
        <v>159</v>
      </c>
      <c r="AB1853" s="8"/>
    </row>
    <row r="1854" spans="1:28" s="4" customFormat="1" ht="44.1" customHeight="1">
      <c r="A1854" s="5">
        <v>0</v>
      </c>
      <c r="B1854" s="6" t="s">
        <v>10687</v>
      </c>
      <c r="C1854" s="7">
        <v>1032</v>
      </c>
      <c r="D1854" s="8" t="s">
        <v>10688</v>
      </c>
      <c r="E1854" s="8" t="s">
        <v>10689</v>
      </c>
      <c r="F1854" s="8" t="s">
        <v>630</v>
      </c>
      <c r="G1854" s="6" t="s">
        <v>38</v>
      </c>
      <c r="H1854" s="6" t="s">
        <v>39</v>
      </c>
      <c r="I1854" s="8" t="s">
        <v>40</v>
      </c>
      <c r="J1854" s="9">
        <v>1</v>
      </c>
      <c r="K1854" s="9">
        <v>153</v>
      </c>
      <c r="L1854" s="9">
        <v>2025</v>
      </c>
      <c r="M1854" s="8" t="s">
        <v>10690</v>
      </c>
      <c r="N1854" s="8" t="s">
        <v>42</v>
      </c>
      <c r="O1854" s="8" t="s">
        <v>101</v>
      </c>
      <c r="P1854" s="6" t="s">
        <v>44</v>
      </c>
      <c r="Q1854" s="8" t="s">
        <v>45</v>
      </c>
      <c r="R1854" s="10" t="s">
        <v>10691</v>
      </c>
      <c r="S1854" s="11"/>
      <c r="T1854" s="6"/>
      <c r="U1854" s="24" t="str">
        <f>HYPERLINK("https://media.infra-m.ru/2181/2181460/cover/2181460.jpg", "Обложка")</f>
        <v>Обложка</v>
      </c>
      <c r="V1854" s="24" t="str">
        <f>HYPERLINK("https://znanium.ru/catalog/product/2181460", "Ознакомиться")</f>
        <v>Ознакомиться</v>
      </c>
      <c r="W1854" s="8" t="s">
        <v>633</v>
      </c>
      <c r="X1854" s="6" t="s">
        <v>450</v>
      </c>
      <c r="Y1854" s="6"/>
      <c r="Z1854" s="6"/>
      <c r="AA1854" s="6" t="s">
        <v>159</v>
      </c>
      <c r="AB1854" s="8"/>
    </row>
    <row r="1855" spans="1:28" s="4" customFormat="1" ht="42" customHeight="1">
      <c r="A1855" s="5">
        <v>0</v>
      </c>
      <c r="B1855" s="6" t="s">
        <v>10692</v>
      </c>
      <c r="C1855" s="7">
        <v>1276.8</v>
      </c>
      <c r="D1855" s="8" t="s">
        <v>10693</v>
      </c>
      <c r="E1855" s="8" t="s">
        <v>10694</v>
      </c>
      <c r="F1855" s="8" t="s">
        <v>10695</v>
      </c>
      <c r="G1855" s="6" t="s">
        <v>38</v>
      </c>
      <c r="H1855" s="6" t="s">
        <v>39</v>
      </c>
      <c r="I1855" s="8" t="s">
        <v>40</v>
      </c>
      <c r="J1855" s="9">
        <v>1</v>
      </c>
      <c r="K1855" s="9">
        <v>231</v>
      </c>
      <c r="L1855" s="9">
        <v>2024</v>
      </c>
      <c r="M1855" s="8" t="s">
        <v>10696</v>
      </c>
      <c r="N1855" s="8" t="s">
        <v>42</v>
      </c>
      <c r="O1855" s="8" t="s">
        <v>101</v>
      </c>
      <c r="P1855" s="6" t="s">
        <v>44</v>
      </c>
      <c r="Q1855" s="8" t="s">
        <v>45</v>
      </c>
      <c r="R1855" s="10" t="s">
        <v>564</v>
      </c>
      <c r="S1855" s="11"/>
      <c r="T1855" s="6"/>
      <c r="U1855" s="24" t="str">
        <f>HYPERLINK("https://media.infra-m.ru/2120/2120782/cover/2120782.jpg", "Обложка")</f>
        <v>Обложка</v>
      </c>
      <c r="V1855" s="24" t="str">
        <f>HYPERLINK("https://znanium.ru/catalog/product/1065190", "Ознакомиться")</f>
        <v>Ознакомиться</v>
      </c>
      <c r="W1855" s="8" t="s">
        <v>10697</v>
      </c>
      <c r="X1855" s="6"/>
      <c r="Y1855" s="6"/>
      <c r="Z1855" s="6"/>
      <c r="AA1855" s="6" t="s">
        <v>290</v>
      </c>
      <c r="AB1855" s="8"/>
    </row>
    <row r="1856" spans="1:28" s="4" customFormat="1" ht="51.95" customHeight="1">
      <c r="A1856" s="5">
        <v>0</v>
      </c>
      <c r="B1856" s="6" t="s">
        <v>10698</v>
      </c>
      <c r="C1856" s="7">
        <v>1488</v>
      </c>
      <c r="D1856" s="8" t="s">
        <v>10699</v>
      </c>
      <c r="E1856" s="8" t="s">
        <v>10700</v>
      </c>
      <c r="F1856" s="8" t="s">
        <v>10701</v>
      </c>
      <c r="G1856" s="6" t="s">
        <v>38</v>
      </c>
      <c r="H1856" s="6" t="s">
        <v>1019</v>
      </c>
      <c r="I1856" s="8" t="s">
        <v>1020</v>
      </c>
      <c r="J1856" s="9">
        <v>1</v>
      </c>
      <c r="K1856" s="9">
        <v>262</v>
      </c>
      <c r="L1856" s="9">
        <v>2024</v>
      </c>
      <c r="M1856" s="8" t="s">
        <v>10702</v>
      </c>
      <c r="N1856" s="8" t="s">
        <v>54</v>
      </c>
      <c r="O1856" s="8" t="s">
        <v>2811</v>
      </c>
      <c r="P1856" s="6" t="s">
        <v>44</v>
      </c>
      <c r="Q1856" s="8" t="s">
        <v>45</v>
      </c>
      <c r="R1856" s="10" t="s">
        <v>10703</v>
      </c>
      <c r="S1856" s="11"/>
      <c r="T1856" s="6"/>
      <c r="U1856" s="24" t="str">
        <f>HYPERLINK("https://media.infra-m.ru/2057/2057694/cover/2057694.jpg", "Обложка")</f>
        <v>Обложка</v>
      </c>
      <c r="V1856" s="24" t="str">
        <f>HYPERLINK("https://znanium.ru/catalog/product/2057694", "Ознакомиться")</f>
        <v>Ознакомиться</v>
      </c>
      <c r="W1856" s="8" t="s">
        <v>176</v>
      </c>
      <c r="X1856" s="6"/>
      <c r="Y1856" s="6"/>
      <c r="Z1856" s="6"/>
      <c r="AA1856" s="6" t="s">
        <v>377</v>
      </c>
      <c r="AB1856" s="8"/>
    </row>
    <row r="1857" spans="1:28" s="4" customFormat="1" ht="51.95" customHeight="1">
      <c r="A1857" s="5">
        <v>0</v>
      </c>
      <c r="B1857" s="6" t="s">
        <v>10704</v>
      </c>
      <c r="C1857" s="7">
        <v>2688</v>
      </c>
      <c r="D1857" s="8" t="s">
        <v>10705</v>
      </c>
      <c r="E1857" s="8" t="s">
        <v>10706</v>
      </c>
      <c r="F1857" s="8" t="s">
        <v>10707</v>
      </c>
      <c r="G1857" s="6" t="s">
        <v>132</v>
      </c>
      <c r="H1857" s="6" t="s">
        <v>39</v>
      </c>
      <c r="I1857" s="8" t="s">
        <v>40</v>
      </c>
      <c r="J1857" s="9">
        <v>1</v>
      </c>
      <c r="K1857" s="9">
        <v>497</v>
      </c>
      <c r="L1857" s="9">
        <v>2023</v>
      </c>
      <c r="M1857" s="8" t="s">
        <v>10708</v>
      </c>
      <c r="N1857" s="8" t="s">
        <v>220</v>
      </c>
      <c r="O1857" s="8" t="s">
        <v>296</v>
      </c>
      <c r="P1857" s="6" t="s">
        <v>44</v>
      </c>
      <c r="Q1857" s="8" t="s">
        <v>45</v>
      </c>
      <c r="R1857" s="10" t="s">
        <v>10709</v>
      </c>
      <c r="S1857" s="11"/>
      <c r="T1857" s="6"/>
      <c r="U1857" s="24" t="str">
        <f>HYPERLINK("https://media.infra-m.ru/1926/1926302/cover/1926302.jpg", "Обложка")</f>
        <v>Обложка</v>
      </c>
      <c r="V1857" s="24" t="str">
        <f>HYPERLINK("https://znanium.ru/catalog/product/1926302", "Ознакомиться")</f>
        <v>Ознакомиться</v>
      </c>
      <c r="W1857" s="8" t="s">
        <v>10710</v>
      </c>
      <c r="X1857" s="6"/>
      <c r="Y1857" s="6"/>
      <c r="Z1857" s="6"/>
      <c r="AA1857" s="6" t="s">
        <v>369</v>
      </c>
      <c r="AB1857" s="8" t="s">
        <v>653</v>
      </c>
    </row>
    <row r="1858" spans="1:28" s="4" customFormat="1" ht="51.95" customHeight="1">
      <c r="A1858" s="5">
        <v>0</v>
      </c>
      <c r="B1858" s="6" t="s">
        <v>10711</v>
      </c>
      <c r="C1858" s="7">
        <v>1264.8</v>
      </c>
      <c r="D1858" s="8" t="s">
        <v>10712</v>
      </c>
      <c r="E1858" s="8" t="s">
        <v>10713</v>
      </c>
      <c r="F1858" s="8" t="s">
        <v>10714</v>
      </c>
      <c r="G1858" s="6" t="s">
        <v>38</v>
      </c>
      <c r="H1858" s="6" t="s">
        <v>39</v>
      </c>
      <c r="I1858" s="8" t="s">
        <v>336</v>
      </c>
      <c r="J1858" s="9">
        <v>1</v>
      </c>
      <c r="K1858" s="9">
        <v>203</v>
      </c>
      <c r="L1858" s="9">
        <v>2025</v>
      </c>
      <c r="M1858" s="8" t="s">
        <v>10715</v>
      </c>
      <c r="N1858" s="8" t="s">
        <v>42</v>
      </c>
      <c r="O1858" s="8" t="s">
        <v>101</v>
      </c>
      <c r="P1858" s="6" t="s">
        <v>268</v>
      </c>
      <c r="Q1858" s="8" t="s">
        <v>45</v>
      </c>
      <c r="R1858" s="10" t="s">
        <v>10716</v>
      </c>
      <c r="S1858" s="11"/>
      <c r="T1858" s="6"/>
      <c r="U1858" s="24" t="str">
        <f>HYPERLINK("https://media.infra-m.ru/2196/2196091/cover/2196091.jpg", "Обложка")</f>
        <v>Обложка</v>
      </c>
      <c r="V1858" s="24" t="str">
        <f>HYPERLINK("https://znanium.ru/catalog/product/1228787", "Ознакомиться")</f>
        <v>Ознакомиться</v>
      </c>
      <c r="W1858" s="8" t="s">
        <v>103</v>
      </c>
      <c r="X1858" s="6"/>
      <c r="Y1858" s="6"/>
      <c r="Z1858" s="6"/>
      <c r="AA1858" s="6" t="s">
        <v>290</v>
      </c>
      <c r="AB1858" s="8"/>
    </row>
    <row r="1859" spans="1:28" s="4" customFormat="1" ht="44.1" customHeight="1">
      <c r="A1859" s="5">
        <v>0</v>
      </c>
      <c r="B1859" s="6" t="s">
        <v>10717</v>
      </c>
      <c r="C1859" s="7">
        <v>1020</v>
      </c>
      <c r="D1859" s="8" t="s">
        <v>10718</v>
      </c>
      <c r="E1859" s="8" t="s">
        <v>10719</v>
      </c>
      <c r="F1859" s="8" t="s">
        <v>10720</v>
      </c>
      <c r="G1859" s="6" t="s">
        <v>38</v>
      </c>
      <c r="H1859" s="6" t="s">
        <v>39</v>
      </c>
      <c r="I1859" s="8" t="s">
        <v>40</v>
      </c>
      <c r="J1859" s="9">
        <v>1</v>
      </c>
      <c r="K1859" s="9">
        <v>181</v>
      </c>
      <c r="L1859" s="9">
        <v>2024</v>
      </c>
      <c r="M1859" s="8" t="s">
        <v>10721</v>
      </c>
      <c r="N1859" s="8" t="s">
        <v>54</v>
      </c>
      <c r="O1859" s="8" t="s">
        <v>117</v>
      </c>
      <c r="P1859" s="6" t="s">
        <v>44</v>
      </c>
      <c r="Q1859" s="8" t="s">
        <v>45</v>
      </c>
      <c r="R1859" s="10" t="s">
        <v>10722</v>
      </c>
      <c r="S1859" s="11"/>
      <c r="T1859" s="6"/>
      <c r="U1859" s="24" t="str">
        <f>HYPERLINK("https://media.infra-m.ru/2136/2136024/cover/2136024.jpg", "Обложка")</f>
        <v>Обложка</v>
      </c>
      <c r="V1859" s="24" t="str">
        <f>HYPERLINK("https://znanium.ru/catalog/product/2136024", "Ознакомиться")</f>
        <v>Ознакомиться</v>
      </c>
      <c r="W1859" s="8" t="s">
        <v>6799</v>
      </c>
      <c r="X1859" s="6"/>
      <c r="Y1859" s="6"/>
      <c r="Z1859" s="6"/>
      <c r="AA1859" s="6" t="s">
        <v>76</v>
      </c>
      <c r="AB1859" s="8"/>
    </row>
    <row r="1860" spans="1:28" s="4" customFormat="1" ht="51.95" customHeight="1">
      <c r="A1860" s="5">
        <v>0</v>
      </c>
      <c r="B1860" s="6" t="s">
        <v>10723</v>
      </c>
      <c r="C1860" s="7">
        <v>1068</v>
      </c>
      <c r="D1860" s="8" t="s">
        <v>10724</v>
      </c>
      <c r="E1860" s="8" t="s">
        <v>10725</v>
      </c>
      <c r="F1860" s="8" t="s">
        <v>10726</v>
      </c>
      <c r="G1860" s="6" t="s">
        <v>38</v>
      </c>
      <c r="H1860" s="6" t="s">
        <v>39</v>
      </c>
      <c r="I1860" s="8" t="s">
        <v>40</v>
      </c>
      <c r="J1860" s="9">
        <v>1</v>
      </c>
      <c r="K1860" s="9">
        <v>228</v>
      </c>
      <c r="L1860" s="9">
        <v>2022</v>
      </c>
      <c r="M1860" s="8" t="s">
        <v>10727</v>
      </c>
      <c r="N1860" s="8" t="s">
        <v>42</v>
      </c>
      <c r="O1860" s="8" t="s">
        <v>246</v>
      </c>
      <c r="P1860" s="6" t="s">
        <v>44</v>
      </c>
      <c r="Q1860" s="8" t="s">
        <v>45</v>
      </c>
      <c r="R1860" s="10" t="s">
        <v>10728</v>
      </c>
      <c r="S1860" s="11"/>
      <c r="T1860" s="6"/>
      <c r="U1860" s="24" t="str">
        <f>HYPERLINK("https://media.infra-m.ru/1816/1816640/cover/1816640.jpg", "Обложка")</f>
        <v>Обложка</v>
      </c>
      <c r="V1860" s="24" t="str">
        <f>HYPERLINK("https://znanium.ru/catalog/product/1816640", "Ознакомиться")</f>
        <v>Ознакомиться</v>
      </c>
      <c r="W1860" s="8" t="s">
        <v>1049</v>
      </c>
      <c r="X1860" s="6"/>
      <c r="Y1860" s="6"/>
      <c r="Z1860" s="6"/>
      <c r="AA1860" s="6" t="s">
        <v>424</v>
      </c>
      <c r="AB1860" s="8"/>
    </row>
    <row r="1861" spans="1:28" s="4" customFormat="1" ht="42" customHeight="1">
      <c r="A1861" s="5">
        <v>0</v>
      </c>
      <c r="B1861" s="6" t="s">
        <v>10729</v>
      </c>
      <c r="C1861" s="7">
        <v>1596</v>
      </c>
      <c r="D1861" s="8" t="s">
        <v>10730</v>
      </c>
      <c r="E1861" s="8" t="s">
        <v>10731</v>
      </c>
      <c r="F1861" s="8" t="s">
        <v>10732</v>
      </c>
      <c r="G1861" s="6" t="s">
        <v>38</v>
      </c>
      <c r="H1861" s="6" t="s">
        <v>39</v>
      </c>
      <c r="I1861" s="8" t="s">
        <v>40</v>
      </c>
      <c r="J1861" s="9">
        <v>1</v>
      </c>
      <c r="K1861" s="9">
        <v>264</v>
      </c>
      <c r="L1861" s="9">
        <v>2025</v>
      </c>
      <c r="M1861" s="8" t="s">
        <v>10733</v>
      </c>
      <c r="N1861" s="8" t="s">
        <v>284</v>
      </c>
      <c r="O1861" s="8" t="s">
        <v>328</v>
      </c>
      <c r="P1861" s="6" t="s">
        <v>44</v>
      </c>
      <c r="Q1861" s="8" t="s">
        <v>45</v>
      </c>
      <c r="R1861" s="10" t="s">
        <v>2825</v>
      </c>
      <c r="S1861" s="11"/>
      <c r="T1861" s="6"/>
      <c r="U1861" s="24" t="str">
        <f>HYPERLINK("https://media.infra-m.ru/2188/2188193/cover/2188193.jpg", "Обложка")</f>
        <v>Обложка</v>
      </c>
      <c r="V1861" s="24" t="str">
        <f>HYPERLINK("https://znanium.ru/catalog/product/2188193", "Ознакомиться")</f>
        <v>Ознакомиться</v>
      </c>
      <c r="W1861" s="8" t="s">
        <v>10734</v>
      </c>
      <c r="X1861" s="6"/>
      <c r="Y1861" s="6"/>
      <c r="Z1861" s="6"/>
      <c r="AA1861" s="6" t="s">
        <v>94</v>
      </c>
      <c r="AB1861" s="8"/>
    </row>
    <row r="1862" spans="1:28" s="4" customFormat="1" ht="42" customHeight="1">
      <c r="A1862" s="5">
        <v>0</v>
      </c>
      <c r="B1862" s="6" t="s">
        <v>10735</v>
      </c>
      <c r="C1862" s="7">
        <v>1056</v>
      </c>
      <c r="D1862" s="8" t="s">
        <v>10736</v>
      </c>
      <c r="E1862" s="8" t="s">
        <v>10737</v>
      </c>
      <c r="F1862" s="8" t="s">
        <v>10738</v>
      </c>
      <c r="G1862" s="6" t="s">
        <v>38</v>
      </c>
      <c r="H1862" s="6" t="s">
        <v>39</v>
      </c>
      <c r="I1862" s="8" t="s">
        <v>40</v>
      </c>
      <c r="J1862" s="9">
        <v>1</v>
      </c>
      <c r="K1862" s="9">
        <v>200</v>
      </c>
      <c r="L1862" s="9">
        <v>2021</v>
      </c>
      <c r="M1862" s="8" t="s">
        <v>10739</v>
      </c>
      <c r="N1862" s="8" t="s">
        <v>284</v>
      </c>
      <c r="O1862" s="8" t="s">
        <v>285</v>
      </c>
      <c r="P1862" s="6" t="s">
        <v>44</v>
      </c>
      <c r="Q1862" s="8" t="s">
        <v>45</v>
      </c>
      <c r="R1862" s="10" t="s">
        <v>10740</v>
      </c>
      <c r="S1862" s="11"/>
      <c r="T1862" s="6"/>
      <c r="U1862" s="24" t="str">
        <f>HYPERLINK("https://media.infra-m.ru/1165/1165273/cover/1165273.jpg", "Обложка")</f>
        <v>Обложка</v>
      </c>
      <c r="V1862" s="24" t="str">
        <f>HYPERLINK("https://znanium.ru/catalog/product/1083289", "Ознакомиться")</f>
        <v>Ознакомиться</v>
      </c>
      <c r="W1862" s="8" t="s">
        <v>1882</v>
      </c>
      <c r="X1862" s="6"/>
      <c r="Y1862" s="6"/>
      <c r="Z1862" s="6"/>
      <c r="AA1862" s="6" t="s">
        <v>199</v>
      </c>
      <c r="AB1862" s="8"/>
    </row>
    <row r="1863" spans="1:28" s="4" customFormat="1" ht="42" customHeight="1">
      <c r="A1863" s="5">
        <v>0</v>
      </c>
      <c r="B1863" s="6" t="s">
        <v>10741</v>
      </c>
      <c r="C1863" s="13">
        <v>984</v>
      </c>
      <c r="D1863" s="8" t="s">
        <v>10742</v>
      </c>
      <c r="E1863" s="8" t="s">
        <v>10743</v>
      </c>
      <c r="F1863" s="8" t="s">
        <v>5932</v>
      </c>
      <c r="G1863" s="6" t="s">
        <v>38</v>
      </c>
      <c r="H1863" s="6" t="s">
        <v>182</v>
      </c>
      <c r="I1863" s="8" t="s">
        <v>40</v>
      </c>
      <c r="J1863" s="9">
        <v>1</v>
      </c>
      <c r="K1863" s="9">
        <v>208</v>
      </c>
      <c r="L1863" s="9">
        <v>2022</v>
      </c>
      <c r="M1863" s="8" t="s">
        <v>10744</v>
      </c>
      <c r="N1863" s="8" t="s">
        <v>42</v>
      </c>
      <c r="O1863" s="8" t="s">
        <v>189</v>
      </c>
      <c r="P1863" s="6" t="s">
        <v>44</v>
      </c>
      <c r="Q1863" s="8" t="s">
        <v>45</v>
      </c>
      <c r="R1863" s="10" t="s">
        <v>10745</v>
      </c>
      <c r="S1863" s="11"/>
      <c r="T1863" s="6"/>
      <c r="U1863" s="24" t="str">
        <f>HYPERLINK("https://media.infra-m.ru/1859/1859037/cover/1859037.jpg", "Обложка")</f>
        <v>Обложка</v>
      </c>
      <c r="V1863" s="24" t="str">
        <f>HYPERLINK("https://znanium.ru/catalog/product/1859037", "Ознакомиться")</f>
        <v>Ознакомиться</v>
      </c>
      <c r="W1863" s="8" t="s">
        <v>3948</v>
      </c>
      <c r="X1863" s="6"/>
      <c r="Y1863" s="6"/>
      <c r="Z1863" s="6"/>
      <c r="AA1863" s="6" t="s">
        <v>369</v>
      </c>
      <c r="AB1863" s="8"/>
    </row>
    <row r="1864" spans="1:28" s="4" customFormat="1" ht="44.1" customHeight="1">
      <c r="A1864" s="5">
        <v>0</v>
      </c>
      <c r="B1864" s="6" t="s">
        <v>10746</v>
      </c>
      <c r="C1864" s="13">
        <v>960</v>
      </c>
      <c r="D1864" s="8" t="s">
        <v>10747</v>
      </c>
      <c r="E1864" s="8" t="s">
        <v>10748</v>
      </c>
      <c r="F1864" s="8" t="s">
        <v>10749</v>
      </c>
      <c r="G1864" s="6" t="s">
        <v>38</v>
      </c>
      <c r="H1864" s="6" t="s">
        <v>39</v>
      </c>
      <c r="I1864" s="8" t="s">
        <v>164</v>
      </c>
      <c r="J1864" s="9">
        <v>1</v>
      </c>
      <c r="K1864" s="9">
        <v>143</v>
      </c>
      <c r="L1864" s="9">
        <v>2024</v>
      </c>
      <c r="M1864" s="8" t="s">
        <v>10750</v>
      </c>
      <c r="N1864" s="8" t="s">
        <v>42</v>
      </c>
      <c r="O1864" s="8" t="s">
        <v>189</v>
      </c>
      <c r="P1864" s="6" t="s">
        <v>44</v>
      </c>
      <c r="Q1864" s="8" t="s">
        <v>45</v>
      </c>
      <c r="R1864" s="10" t="s">
        <v>10751</v>
      </c>
      <c r="S1864" s="11"/>
      <c r="T1864" s="6"/>
      <c r="U1864" s="24" t="str">
        <f>HYPERLINK("https://media.infra-m.ru/2144/2144525/cover/2144525.jpg", "Обложка")</f>
        <v>Обложка</v>
      </c>
      <c r="V1864" s="24" t="str">
        <f>HYPERLINK("https://znanium.ru/catalog/product/2144525", "Ознакомиться")</f>
        <v>Ознакомиться</v>
      </c>
      <c r="W1864" s="8" t="s">
        <v>167</v>
      </c>
      <c r="X1864" s="6"/>
      <c r="Y1864" s="6"/>
      <c r="Z1864" s="6"/>
      <c r="AA1864" s="6" t="s">
        <v>58</v>
      </c>
      <c r="AB1864" s="8"/>
    </row>
    <row r="1865" spans="1:28" s="4" customFormat="1" ht="42" customHeight="1">
      <c r="A1865" s="5">
        <v>0</v>
      </c>
      <c r="B1865" s="6" t="s">
        <v>10752</v>
      </c>
      <c r="C1865" s="7">
        <v>1084.8</v>
      </c>
      <c r="D1865" s="8" t="s">
        <v>10753</v>
      </c>
      <c r="E1865" s="8" t="s">
        <v>10754</v>
      </c>
      <c r="F1865" s="8" t="s">
        <v>10755</v>
      </c>
      <c r="G1865" s="6" t="s">
        <v>132</v>
      </c>
      <c r="H1865" s="6" t="s">
        <v>39</v>
      </c>
      <c r="I1865" s="8" t="s">
        <v>40</v>
      </c>
      <c r="J1865" s="9">
        <v>1</v>
      </c>
      <c r="K1865" s="9">
        <v>190</v>
      </c>
      <c r="L1865" s="9">
        <v>2024</v>
      </c>
      <c r="M1865" s="8" t="s">
        <v>10756</v>
      </c>
      <c r="N1865" s="8" t="s">
        <v>229</v>
      </c>
      <c r="O1865" s="8" t="s">
        <v>230</v>
      </c>
      <c r="P1865" s="6" t="s">
        <v>44</v>
      </c>
      <c r="Q1865" s="8" t="s">
        <v>45</v>
      </c>
      <c r="R1865" s="10" t="s">
        <v>10757</v>
      </c>
      <c r="S1865" s="11"/>
      <c r="T1865" s="6"/>
      <c r="U1865" s="24" t="str">
        <f>HYPERLINK("https://media.infra-m.ru/2115/2115275/cover/2115275.jpg", "Обложка")</f>
        <v>Обложка</v>
      </c>
      <c r="V1865" s="24" t="str">
        <f>HYPERLINK("https://znanium.ru/catalog/product/1831185", "Ознакомиться")</f>
        <v>Ознакомиться</v>
      </c>
      <c r="W1865" s="8" t="s">
        <v>2080</v>
      </c>
      <c r="X1865" s="6"/>
      <c r="Y1865" s="6"/>
      <c r="Z1865" s="6"/>
      <c r="AA1865" s="6" t="s">
        <v>68</v>
      </c>
      <c r="AB1865" s="8"/>
    </row>
    <row r="1866" spans="1:28" s="4" customFormat="1" ht="42" customHeight="1">
      <c r="A1866" s="5">
        <v>0</v>
      </c>
      <c r="B1866" s="6" t="s">
        <v>10758</v>
      </c>
      <c r="C1866" s="7">
        <v>1428</v>
      </c>
      <c r="D1866" s="8" t="s">
        <v>10759</v>
      </c>
      <c r="E1866" s="8" t="s">
        <v>10760</v>
      </c>
      <c r="F1866" s="8" t="s">
        <v>1511</v>
      </c>
      <c r="G1866" s="6" t="s">
        <v>132</v>
      </c>
      <c r="H1866" s="6" t="s">
        <v>39</v>
      </c>
      <c r="I1866" s="8" t="s">
        <v>40</v>
      </c>
      <c r="J1866" s="9">
        <v>1</v>
      </c>
      <c r="K1866" s="9">
        <v>230</v>
      </c>
      <c r="L1866" s="9">
        <v>2025</v>
      </c>
      <c r="M1866" s="8" t="s">
        <v>10761</v>
      </c>
      <c r="N1866" s="8" t="s">
        <v>229</v>
      </c>
      <c r="O1866" s="8" t="s">
        <v>230</v>
      </c>
      <c r="P1866" s="6" t="s">
        <v>44</v>
      </c>
      <c r="Q1866" s="8" t="s">
        <v>4480</v>
      </c>
      <c r="R1866" s="10" t="s">
        <v>7484</v>
      </c>
      <c r="S1866" s="11"/>
      <c r="T1866" s="6"/>
      <c r="U1866" s="24" t="str">
        <f>HYPERLINK("https://media.infra-m.ru/2174/2174707/cover/2174707.jpg", "Обложка")</f>
        <v>Обложка</v>
      </c>
      <c r="V1866" s="24" t="str">
        <f>HYPERLINK("https://znanium.ru/catalog/product/2174707", "Ознакомиться")</f>
        <v>Ознакомиться</v>
      </c>
      <c r="W1866" s="8" t="s">
        <v>1514</v>
      </c>
      <c r="X1866" s="6" t="s">
        <v>306</v>
      </c>
      <c r="Y1866" s="6"/>
      <c r="Z1866" s="6"/>
      <c r="AA1866" s="6" t="s">
        <v>159</v>
      </c>
      <c r="AB1866" s="8"/>
    </row>
    <row r="1867" spans="1:28" s="4" customFormat="1" ht="42" customHeight="1">
      <c r="A1867" s="5">
        <v>0</v>
      </c>
      <c r="B1867" s="6" t="s">
        <v>10762</v>
      </c>
      <c r="C1867" s="7">
        <v>1080</v>
      </c>
      <c r="D1867" s="8" t="s">
        <v>10763</v>
      </c>
      <c r="E1867" s="8" t="s">
        <v>10764</v>
      </c>
      <c r="F1867" s="8" t="s">
        <v>10765</v>
      </c>
      <c r="G1867" s="6" t="s">
        <v>81</v>
      </c>
      <c r="H1867" s="6" t="s">
        <v>99</v>
      </c>
      <c r="I1867" s="8"/>
      <c r="J1867" s="9">
        <v>1</v>
      </c>
      <c r="K1867" s="9">
        <v>200</v>
      </c>
      <c r="L1867" s="9">
        <v>2023</v>
      </c>
      <c r="M1867" s="8" t="s">
        <v>10766</v>
      </c>
      <c r="N1867" s="8" t="s">
        <v>42</v>
      </c>
      <c r="O1867" s="8" t="s">
        <v>101</v>
      </c>
      <c r="P1867" s="6" t="s">
        <v>44</v>
      </c>
      <c r="Q1867" s="8" t="s">
        <v>45</v>
      </c>
      <c r="R1867" s="10" t="s">
        <v>269</v>
      </c>
      <c r="S1867" s="11"/>
      <c r="T1867" s="6"/>
      <c r="U1867" s="24" t="str">
        <f>HYPERLINK("https://media.infra-m.ru/2034/2034560/cover/2034560.jpg", "Обложка")</f>
        <v>Обложка</v>
      </c>
      <c r="V1867" s="24" t="str">
        <f>HYPERLINK("https://znanium.ru/catalog/product/2034560", "Ознакомиться")</f>
        <v>Ознакомиться</v>
      </c>
      <c r="W1867" s="8" t="s">
        <v>103</v>
      </c>
      <c r="X1867" s="6"/>
      <c r="Y1867" s="6"/>
      <c r="Z1867" s="6"/>
      <c r="AA1867" s="6" t="s">
        <v>111</v>
      </c>
      <c r="AB1867" s="8"/>
    </row>
    <row r="1868" spans="1:28" s="4" customFormat="1" ht="44.1" customHeight="1">
      <c r="A1868" s="5">
        <v>0</v>
      </c>
      <c r="B1868" s="6" t="s">
        <v>10767</v>
      </c>
      <c r="C1868" s="7">
        <v>1764</v>
      </c>
      <c r="D1868" s="8" t="s">
        <v>10768</v>
      </c>
      <c r="E1868" s="8" t="s">
        <v>10769</v>
      </c>
      <c r="F1868" s="8" t="s">
        <v>10770</v>
      </c>
      <c r="G1868" s="6" t="s">
        <v>132</v>
      </c>
      <c r="H1868" s="6" t="s">
        <v>39</v>
      </c>
      <c r="I1868" s="8" t="s">
        <v>40</v>
      </c>
      <c r="J1868" s="9">
        <v>1</v>
      </c>
      <c r="K1868" s="9">
        <v>317</v>
      </c>
      <c r="L1868" s="9">
        <v>2024</v>
      </c>
      <c r="M1868" s="8" t="s">
        <v>10771</v>
      </c>
      <c r="N1868" s="8" t="s">
        <v>42</v>
      </c>
      <c r="O1868" s="8" t="s">
        <v>43</v>
      </c>
      <c r="P1868" s="6" t="s">
        <v>44</v>
      </c>
      <c r="Q1868" s="8" t="s">
        <v>45</v>
      </c>
      <c r="R1868" s="10" t="s">
        <v>10772</v>
      </c>
      <c r="S1868" s="11"/>
      <c r="T1868" s="6"/>
      <c r="U1868" s="24" t="str">
        <f>HYPERLINK("https://media.infra-m.ru/1946/1946225/cover/1946225.jpg", "Обложка")</f>
        <v>Обложка</v>
      </c>
      <c r="V1868" s="24" t="str">
        <f>HYPERLINK("https://znanium.ru/catalog/product/1946225", "Ознакомиться")</f>
        <v>Ознакомиться</v>
      </c>
      <c r="W1868" s="8" t="s">
        <v>3378</v>
      </c>
      <c r="X1868" s="6"/>
      <c r="Y1868" s="6"/>
      <c r="Z1868" s="6"/>
      <c r="AA1868" s="6" t="s">
        <v>58</v>
      </c>
      <c r="AB1868" s="8"/>
    </row>
    <row r="1869" spans="1:28" s="4" customFormat="1" ht="42" customHeight="1">
      <c r="A1869" s="5">
        <v>0</v>
      </c>
      <c r="B1869" s="6" t="s">
        <v>10773</v>
      </c>
      <c r="C1869" s="7">
        <v>1056</v>
      </c>
      <c r="D1869" s="8" t="s">
        <v>10774</v>
      </c>
      <c r="E1869" s="8" t="s">
        <v>10775</v>
      </c>
      <c r="F1869" s="8" t="s">
        <v>10776</v>
      </c>
      <c r="G1869" s="6" t="s">
        <v>38</v>
      </c>
      <c r="H1869" s="6" t="s">
        <v>39</v>
      </c>
      <c r="I1869" s="8" t="s">
        <v>40</v>
      </c>
      <c r="J1869" s="9">
        <v>1</v>
      </c>
      <c r="K1869" s="9">
        <v>188</v>
      </c>
      <c r="L1869" s="9">
        <v>2024</v>
      </c>
      <c r="M1869" s="8" t="s">
        <v>10777</v>
      </c>
      <c r="N1869" s="8" t="s">
        <v>229</v>
      </c>
      <c r="O1869" s="8" t="s">
        <v>230</v>
      </c>
      <c r="P1869" s="6" t="s">
        <v>44</v>
      </c>
      <c r="Q1869" s="8" t="s">
        <v>45</v>
      </c>
      <c r="R1869" s="10" t="s">
        <v>10778</v>
      </c>
      <c r="S1869" s="11"/>
      <c r="T1869" s="6"/>
      <c r="U1869" s="24" t="str">
        <f>HYPERLINK("https://media.infra-m.ru/2136/2136025/cover/2136025.jpg", "Обложка")</f>
        <v>Обложка</v>
      </c>
      <c r="V1869" s="24" t="str">
        <f>HYPERLINK("https://znanium.ru/catalog/product/2136025", "Ознакомиться")</f>
        <v>Ознакомиться</v>
      </c>
      <c r="W1869" s="8" t="s">
        <v>7136</v>
      </c>
      <c r="X1869" s="6"/>
      <c r="Y1869" s="6"/>
      <c r="Z1869" s="6"/>
      <c r="AA1869" s="6" t="s">
        <v>290</v>
      </c>
      <c r="AB1869" s="8"/>
    </row>
    <row r="1870" spans="1:28" s="4" customFormat="1" ht="44.1" customHeight="1">
      <c r="A1870" s="5">
        <v>0</v>
      </c>
      <c r="B1870" s="6" t="s">
        <v>10779</v>
      </c>
      <c r="C1870" s="7">
        <v>1908</v>
      </c>
      <c r="D1870" s="8" t="s">
        <v>10780</v>
      </c>
      <c r="E1870" s="8" t="s">
        <v>10781</v>
      </c>
      <c r="F1870" s="8" t="s">
        <v>10782</v>
      </c>
      <c r="G1870" s="6" t="s">
        <v>132</v>
      </c>
      <c r="H1870" s="6" t="s">
        <v>39</v>
      </c>
      <c r="I1870" s="8" t="s">
        <v>40</v>
      </c>
      <c r="J1870" s="9">
        <v>1</v>
      </c>
      <c r="K1870" s="9">
        <v>292</v>
      </c>
      <c r="L1870" s="9">
        <v>2024</v>
      </c>
      <c r="M1870" s="8" t="s">
        <v>10783</v>
      </c>
      <c r="N1870" s="8" t="s">
        <v>220</v>
      </c>
      <c r="O1870" s="8" t="s">
        <v>296</v>
      </c>
      <c r="P1870" s="6" t="s">
        <v>44</v>
      </c>
      <c r="Q1870" s="8" t="s">
        <v>45</v>
      </c>
      <c r="R1870" s="10" t="s">
        <v>10784</v>
      </c>
      <c r="S1870" s="11"/>
      <c r="T1870" s="6"/>
      <c r="U1870" s="24" t="str">
        <f>HYPERLINK("https://media.infra-m.ru/2124/2124906/cover/2124906.jpg", "Обложка")</f>
        <v>Обложка</v>
      </c>
      <c r="V1870" s="24" t="str">
        <f>HYPERLINK("https://znanium.ru/catalog/product/2124906", "Ознакомиться")</f>
        <v>Ознакомиться</v>
      </c>
      <c r="W1870" s="8" t="s">
        <v>10785</v>
      </c>
      <c r="X1870" s="6"/>
      <c r="Y1870" s="6"/>
      <c r="Z1870" s="6"/>
      <c r="AA1870" s="6" t="s">
        <v>58</v>
      </c>
      <c r="AB1870" s="8" t="s">
        <v>255</v>
      </c>
    </row>
    <row r="1871" spans="1:28" s="4" customFormat="1" ht="51.95" customHeight="1">
      <c r="A1871" s="5">
        <v>0</v>
      </c>
      <c r="B1871" s="6" t="s">
        <v>10786</v>
      </c>
      <c r="C1871" s="7">
        <v>1440</v>
      </c>
      <c r="D1871" s="8" t="s">
        <v>10787</v>
      </c>
      <c r="E1871" s="8" t="s">
        <v>10788</v>
      </c>
      <c r="F1871" s="8" t="s">
        <v>10789</v>
      </c>
      <c r="G1871" s="6" t="s">
        <v>81</v>
      </c>
      <c r="H1871" s="6" t="s">
        <v>99</v>
      </c>
      <c r="I1871" s="8"/>
      <c r="J1871" s="9">
        <v>1</v>
      </c>
      <c r="K1871" s="9">
        <v>240</v>
      </c>
      <c r="L1871" s="9">
        <v>2025</v>
      </c>
      <c r="M1871" s="8" t="s">
        <v>10790</v>
      </c>
      <c r="N1871" s="8" t="s">
        <v>42</v>
      </c>
      <c r="O1871" s="8" t="s">
        <v>101</v>
      </c>
      <c r="P1871" s="6" t="s">
        <v>44</v>
      </c>
      <c r="Q1871" s="8" t="s">
        <v>45</v>
      </c>
      <c r="R1871" s="10" t="s">
        <v>10791</v>
      </c>
      <c r="S1871" s="11"/>
      <c r="T1871" s="6"/>
      <c r="U1871" s="24" t="str">
        <f>HYPERLINK("https://media.infra-m.ru/2170/2170036/cover/2170036.jpg", "Обложка")</f>
        <v>Обложка</v>
      </c>
      <c r="V1871" s="24" t="str">
        <f>HYPERLINK("https://znanium.ru/catalog/product/2170036", "Ознакомиться")</f>
        <v>Ознакомиться</v>
      </c>
      <c r="W1871" s="8" t="s">
        <v>418</v>
      </c>
      <c r="X1871" s="6"/>
      <c r="Y1871" s="6"/>
      <c r="Z1871" s="6"/>
      <c r="AA1871" s="6" t="s">
        <v>10792</v>
      </c>
      <c r="AB1871" s="8"/>
    </row>
    <row r="1872" spans="1:28" s="4" customFormat="1" ht="51.95" customHeight="1">
      <c r="A1872" s="5">
        <v>0</v>
      </c>
      <c r="B1872" s="6" t="s">
        <v>10793</v>
      </c>
      <c r="C1872" s="13">
        <v>616.79999999999995</v>
      </c>
      <c r="D1872" s="8" t="s">
        <v>10794</v>
      </c>
      <c r="E1872" s="8" t="s">
        <v>10795</v>
      </c>
      <c r="F1872" s="8" t="s">
        <v>10796</v>
      </c>
      <c r="G1872" s="6" t="s">
        <v>38</v>
      </c>
      <c r="H1872" s="6" t="s">
        <v>39</v>
      </c>
      <c r="I1872" s="8" t="s">
        <v>40</v>
      </c>
      <c r="J1872" s="9">
        <v>1</v>
      </c>
      <c r="K1872" s="9">
        <v>111</v>
      </c>
      <c r="L1872" s="9">
        <v>2024</v>
      </c>
      <c r="M1872" s="8" t="s">
        <v>10797</v>
      </c>
      <c r="N1872" s="8" t="s">
        <v>42</v>
      </c>
      <c r="O1872" s="8" t="s">
        <v>246</v>
      </c>
      <c r="P1872" s="6" t="s">
        <v>44</v>
      </c>
      <c r="Q1872" s="8" t="s">
        <v>45</v>
      </c>
      <c r="R1872" s="10" t="s">
        <v>10798</v>
      </c>
      <c r="S1872" s="11"/>
      <c r="T1872" s="6"/>
      <c r="U1872" s="24" t="str">
        <f>HYPERLINK("https://media.infra-m.ru/2063/2063445/cover/2063445.jpg", "Обложка")</f>
        <v>Обложка</v>
      </c>
      <c r="V1872" s="24" t="str">
        <f>HYPERLINK("https://znanium.ru/catalog/product/1031520", "Ознакомиться")</f>
        <v>Ознакомиться</v>
      </c>
      <c r="W1872" s="8" t="s">
        <v>10799</v>
      </c>
      <c r="X1872" s="6"/>
      <c r="Y1872" s="6"/>
      <c r="Z1872" s="6"/>
      <c r="AA1872" s="6" t="s">
        <v>1154</v>
      </c>
      <c r="AB1872" s="8"/>
    </row>
    <row r="1873" spans="1:28" s="4" customFormat="1" ht="42" customHeight="1">
      <c r="A1873" s="5">
        <v>0</v>
      </c>
      <c r="B1873" s="6" t="s">
        <v>10800</v>
      </c>
      <c r="C1873" s="13">
        <v>984</v>
      </c>
      <c r="D1873" s="8" t="s">
        <v>10801</v>
      </c>
      <c r="E1873" s="8" t="s">
        <v>10802</v>
      </c>
      <c r="F1873" s="8" t="s">
        <v>10803</v>
      </c>
      <c r="G1873" s="6" t="s">
        <v>38</v>
      </c>
      <c r="H1873" s="6" t="s">
        <v>39</v>
      </c>
      <c r="I1873" s="8" t="s">
        <v>40</v>
      </c>
      <c r="J1873" s="9">
        <v>1</v>
      </c>
      <c r="K1873" s="9">
        <v>233</v>
      </c>
      <c r="L1873" s="9">
        <v>2020</v>
      </c>
      <c r="M1873" s="8" t="s">
        <v>10804</v>
      </c>
      <c r="N1873" s="8" t="s">
        <v>42</v>
      </c>
      <c r="O1873" s="8" t="s">
        <v>246</v>
      </c>
      <c r="P1873" s="6" t="s">
        <v>44</v>
      </c>
      <c r="Q1873" s="8" t="s">
        <v>45</v>
      </c>
      <c r="R1873" s="10" t="s">
        <v>1100</v>
      </c>
      <c r="S1873" s="11"/>
      <c r="T1873" s="6"/>
      <c r="U1873" s="24" t="str">
        <f>HYPERLINK("https://media.infra-m.ru/1081/1081000/cover/1081000.jpg", "Обложка")</f>
        <v>Обложка</v>
      </c>
      <c r="V1873" s="24" t="str">
        <f>HYPERLINK("https://znanium.ru/catalog/product/1081000", "Ознакомиться")</f>
        <v>Ознакомиться</v>
      </c>
      <c r="W1873" s="8" t="s">
        <v>10799</v>
      </c>
      <c r="X1873" s="6"/>
      <c r="Y1873" s="6"/>
      <c r="Z1873" s="6"/>
      <c r="AA1873" s="6" t="s">
        <v>76</v>
      </c>
      <c r="AB1873" s="8"/>
    </row>
    <row r="1874" spans="1:28" s="4" customFormat="1" ht="42" customHeight="1">
      <c r="A1874" s="5">
        <v>0</v>
      </c>
      <c r="B1874" s="6" t="s">
        <v>10805</v>
      </c>
      <c r="C1874" s="7">
        <v>1104</v>
      </c>
      <c r="D1874" s="8" t="s">
        <v>10806</v>
      </c>
      <c r="E1874" s="8" t="s">
        <v>10807</v>
      </c>
      <c r="F1874" s="8" t="s">
        <v>10808</v>
      </c>
      <c r="G1874" s="6" t="s">
        <v>38</v>
      </c>
      <c r="H1874" s="6" t="s">
        <v>39</v>
      </c>
      <c r="I1874" s="8" t="s">
        <v>40</v>
      </c>
      <c r="J1874" s="9">
        <v>1</v>
      </c>
      <c r="K1874" s="9">
        <v>254</v>
      </c>
      <c r="L1874" s="9">
        <v>2020</v>
      </c>
      <c r="M1874" s="8" t="s">
        <v>10809</v>
      </c>
      <c r="N1874" s="8" t="s">
        <v>42</v>
      </c>
      <c r="O1874" s="8" t="s">
        <v>65</v>
      </c>
      <c r="P1874" s="6" t="s">
        <v>44</v>
      </c>
      <c r="Q1874" s="8" t="s">
        <v>45</v>
      </c>
      <c r="R1874" s="10" t="s">
        <v>10810</v>
      </c>
      <c r="S1874" s="11"/>
      <c r="T1874" s="6"/>
      <c r="U1874" s="24" t="str">
        <f>HYPERLINK("https://media.infra-m.ru/1078/1078930/cover/1078930.jpg", "Обложка")</f>
        <v>Обложка</v>
      </c>
      <c r="V1874" s="24" t="str">
        <f>HYPERLINK("https://znanium.ru/catalog/product/1078930", "Ознакомиться")</f>
        <v>Ознакомиться</v>
      </c>
      <c r="W1874" s="8" t="s">
        <v>167</v>
      </c>
      <c r="X1874" s="6"/>
      <c r="Y1874" s="6"/>
      <c r="Z1874" s="6"/>
      <c r="AA1874" s="6" t="s">
        <v>168</v>
      </c>
      <c r="AB1874" s="8" t="s">
        <v>3455</v>
      </c>
    </row>
    <row r="1875" spans="1:28" s="4" customFormat="1" ht="44.1" customHeight="1">
      <c r="A1875" s="5">
        <v>0</v>
      </c>
      <c r="B1875" s="6" t="s">
        <v>10811</v>
      </c>
      <c r="C1875" s="13">
        <v>984</v>
      </c>
      <c r="D1875" s="8" t="s">
        <v>10812</v>
      </c>
      <c r="E1875" s="8" t="s">
        <v>10813</v>
      </c>
      <c r="F1875" s="8" t="s">
        <v>10814</v>
      </c>
      <c r="G1875" s="6" t="s">
        <v>38</v>
      </c>
      <c r="H1875" s="6" t="s">
        <v>39</v>
      </c>
      <c r="I1875" s="8" t="s">
        <v>40</v>
      </c>
      <c r="J1875" s="9">
        <v>1</v>
      </c>
      <c r="K1875" s="9">
        <v>183</v>
      </c>
      <c r="L1875" s="9">
        <v>2022</v>
      </c>
      <c r="M1875" s="8" t="s">
        <v>10815</v>
      </c>
      <c r="N1875" s="8" t="s">
        <v>42</v>
      </c>
      <c r="O1875" s="8" t="s">
        <v>246</v>
      </c>
      <c r="P1875" s="6" t="s">
        <v>44</v>
      </c>
      <c r="Q1875" s="8" t="s">
        <v>45</v>
      </c>
      <c r="R1875" s="10" t="s">
        <v>10816</v>
      </c>
      <c r="S1875" s="11"/>
      <c r="T1875" s="6"/>
      <c r="U1875" s="24" t="str">
        <f>HYPERLINK("https://media.infra-m.ru/1842/1842952/cover/1842952.jpg", "Обложка")</f>
        <v>Обложка</v>
      </c>
      <c r="V1875" s="24" t="str">
        <f>HYPERLINK("https://znanium.ru/catalog/product/1842952", "Ознакомиться")</f>
        <v>Ознакомиться</v>
      </c>
      <c r="W1875" s="8" t="s">
        <v>2080</v>
      </c>
      <c r="X1875" s="6"/>
      <c r="Y1875" s="6"/>
      <c r="Z1875" s="6"/>
      <c r="AA1875" s="6" t="s">
        <v>111</v>
      </c>
      <c r="AB1875" s="8"/>
    </row>
    <row r="1876" spans="1:28" s="4" customFormat="1" ht="51.95" customHeight="1">
      <c r="A1876" s="5">
        <v>0</v>
      </c>
      <c r="B1876" s="6" t="s">
        <v>10817</v>
      </c>
      <c r="C1876" s="7">
        <v>1356</v>
      </c>
      <c r="D1876" s="8" t="s">
        <v>10818</v>
      </c>
      <c r="E1876" s="8" t="s">
        <v>10819</v>
      </c>
      <c r="F1876" s="8" t="s">
        <v>10820</v>
      </c>
      <c r="G1876" s="6" t="s">
        <v>81</v>
      </c>
      <c r="H1876" s="6" t="s">
        <v>39</v>
      </c>
      <c r="I1876" s="8" t="s">
        <v>40</v>
      </c>
      <c r="J1876" s="9">
        <v>1</v>
      </c>
      <c r="K1876" s="9">
        <v>206</v>
      </c>
      <c r="L1876" s="9">
        <v>2025</v>
      </c>
      <c r="M1876" s="8" t="s">
        <v>10821</v>
      </c>
      <c r="N1876" s="8" t="s">
        <v>42</v>
      </c>
      <c r="O1876" s="8" t="s">
        <v>101</v>
      </c>
      <c r="P1876" s="6" t="s">
        <v>44</v>
      </c>
      <c r="Q1876" s="8" t="s">
        <v>45</v>
      </c>
      <c r="R1876" s="10" t="s">
        <v>10791</v>
      </c>
      <c r="S1876" s="11"/>
      <c r="T1876" s="6"/>
      <c r="U1876" s="24" t="str">
        <f>HYPERLINK("https://media.infra-m.ru/2208/2208434/cover/2208434.jpg", "Обложка")</f>
        <v>Обложка</v>
      </c>
      <c r="V1876" s="24" t="str">
        <f>HYPERLINK("https://znanium.ru/catalog/product/2148764", "Ознакомиться")</f>
        <v>Ознакомиться</v>
      </c>
      <c r="W1876" s="8" t="s">
        <v>10822</v>
      </c>
      <c r="X1876" s="6"/>
      <c r="Y1876" s="6"/>
      <c r="Z1876" s="6"/>
      <c r="AA1876" s="6" t="s">
        <v>159</v>
      </c>
      <c r="AB1876" s="8"/>
    </row>
    <row r="1877" spans="1:28" s="4" customFormat="1" ht="51.95" customHeight="1">
      <c r="A1877" s="5">
        <v>0</v>
      </c>
      <c r="B1877" s="6" t="s">
        <v>10823</v>
      </c>
      <c r="C1877" s="7">
        <v>1504.8</v>
      </c>
      <c r="D1877" s="8" t="s">
        <v>10824</v>
      </c>
      <c r="E1877" s="8" t="s">
        <v>10825</v>
      </c>
      <c r="F1877" s="8" t="s">
        <v>10826</v>
      </c>
      <c r="G1877" s="6" t="s">
        <v>132</v>
      </c>
      <c r="H1877" s="6" t="s">
        <v>571</v>
      </c>
      <c r="I1877" s="8"/>
      <c r="J1877" s="9">
        <v>1</v>
      </c>
      <c r="K1877" s="9">
        <v>272</v>
      </c>
      <c r="L1877" s="9">
        <v>2024</v>
      </c>
      <c r="M1877" s="8" t="s">
        <v>10827</v>
      </c>
      <c r="N1877" s="8" t="s">
        <v>42</v>
      </c>
      <c r="O1877" s="8" t="s">
        <v>189</v>
      </c>
      <c r="P1877" s="6" t="s">
        <v>44</v>
      </c>
      <c r="Q1877" s="8" t="s">
        <v>45</v>
      </c>
      <c r="R1877" s="10" t="s">
        <v>10828</v>
      </c>
      <c r="S1877" s="11"/>
      <c r="T1877" s="6"/>
      <c r="U1877" s="24" t="str">
        <f>HYPERLINK("https://media.infra-m.ru/2084/2084570/cover/2084570.jpg", "Обложка")</f>
        <v>Обложка</v>
      </c>
      <c r="V1877" s="24" t="str">
        <f>HYPERLINK("https://znanium.ru/catalog/product/1850643", "Ознакомиться")</f>
        <v>Ознакомиться</v>
      </c>
      <c r="W1877" s="8" t="s">
        <v>167</v>
      </c>
      <c r="X1877" s="6"/>
      <c r="Y1877" s="6"/>
      <c r="Z1877" s="6"/>
      <c r="AA1877" s="6" t="s">
        <v>127</v>
      </c>
      <c r="AB1877" s="8"/>
    </row>
    <row r="1878" spans="1:28" s="4" customFormat="1" ht="51.95" customHeight="1">
      <c r="A1878" s="5">
        <v>0</v>
      </c>
      <c r="B1878" s="6" t="s">
        <v>10829</v>
      </c>
      <c r="C1878" s="7">
        <v>1380</v>
      </c>
      <c r="D1878" s="8" t="s">
        <v>10830</v>
      </c>
      <c r="E1878" s="8" t="s">
        <v>10831</v>
      </c>
      <c r="F1878" s="8" t="s">
        <v>2123</v>
      </c>
      <c r="G1878" s="6" t="s">
        <v>132</v>
      </c>
      <c r="H1878" s="6" t="s">
        <v>39</v>
      </c>
      <c r="I1878" s="8" t="s">
        <v>40</v>
      </c>
      <c r="J1878" s="9">
        <v>1</v>
      </c>
      <c r="K1878" s="9">
        <v>302</v>
      </c>
      <c r="L1878" s="9">
        <v>2023</v>
      </c>
      <c r="M1878" s="8" t="s">
        <v>10832</v>
      </c>
      <c r="N1878" s="8" t="s">
        <v>42</v>
      </c>
      <c r="O1878" s="8" t="s">
        <v>101</v>
      </c>
      <c r="P1878" s="6" t="s">
        <v>44</v>
      </c>
      <c r="Q1878" s="8" t="s">
        <v>45</v>
      </c>
      <c r="R1878" s="10" t="s">
        <v>10833</v>
      </c>
      <c r="S1878" s="11"/>
      <c r="T1878" s="6"/>
      <c r="U1878" s="24" t="str">
        <f>HYPERLINK("https://media.infra-m.ru/1858/1858242/cover/1858242.jpg", "Обложка")</f>
        <v>Обложка</v>
      </c>
      <c r="V1878" s="24" t="str">
        <f>HYPERLINK("https://znanium.ru/catalog/product/1014568", "Ознакомиться")</f>
        <v>Ознакомиться</v>
      </c>
      <c r="W1878" s="8" t="s">
        <v>937</v>
      </c>
      <c r="X1878" s="6"/>
      <c r="Y1878" s="6"/>
      <c r="Z1878" s="6"/>
      <c r="AA1878" s="6" t="s">
        <v>177</v>
      </c>
      <c r="AB1878" s="8"/>
    </row>
    <row r="1879" spans="1:28" s="4" customFormat="1" ht="51.95" customHeight="1">
      <c r="A1879" s="5">
        <v>0</v>
      </c>
      <c r="B1879" s="6" t="s">
        <v>10834</v>
      </c>
      <c r="C1879" s="7">
        <v>1073.9000000000001</v>
      </c>
      <c r="D1879" s="8" t="s">
        <v>10835</v>
      </c>
      <c r="E1879" s="8" t="s">
        <v>10836</v>
      </c>
      <c r="F1879" s="8" t="s">
        <v>2123</v>
      </c>
      <c r="G1879" s="6" t="s">
        <v>132</v>
      </c>
      <c r="H1879" s="6" t="s">
        <v>39</v>
      </c>
      <c r="I1879" s="8" t="s">
        <v>40</v>
      </c>
      <c r="J1879" s="9">
        <v>1</v>
      </c>
      <c r="K1879" s="9">
        <v>287</v>
      </c>
      <c r="L1879" s="9">
        <v>2018</v>
      </c>
      <c r="M1879" s="8" t="s">
        <v>10837</v>
      </c>
      <c r="N1879" s="8" t="s">
        <v>42</v>
      </c>
      <c r="O1879" s="8" t="s">
        <v>101</v>
      </c>
      <c r="P1879" s="6" t="s">
        <v>44</v>
      </c>
      <c r="Q1879" s="8" t="s">
        <v>45</v>
      </c>
      <c r="R1879" s="10" t="s">
        <v>10833</v>
      </c>
      <c r="S1879" s="11"/>
      <c r="T1879" s="6"/>
      <c r="U1879" s="24" t="str">
        <f>HYPERLINK("https://media.infra-m.ru/0959/0959990/cover/959990.jpg", "Обложка")</f>
        <v>Обложка</v>
      </c>
      <c r="V1879" s="24" t="str">
        <f>HYPERLINK("https://znanium.ru/catalog/product/1014568", "Ознакомиться")</f>
        <v>Ознакомиться</v>
      </c>
      <c r="W1879" s="8" t="s">
        <v>937</v>
      </c>
      <c r="X1879" s="6"/>
      <c r="Y1879" s="6"/>
      <c r="Z1879" s="6"/>
      <c r="AA1879" s="6" t="s">
        <v>339</v>
      </c>
      <c r="AB1879" s="8"/>
    </row>
    <row r="1880" spans="1:28" s="4" customFormat="1" ht="51.95" customHeight="1">
      <c r="A1880" s="5">
        <v>0</v>
      </c>
      <c r="B1880" s="6" t="s">
        <v>10838</v>
      </c>
      <c r="C1880" s="7">
        <v>1416</v>
      </c>
      <c r="D1880" s="8" t="s">
        <v>10839</v>
      </c>
      <c r="E1880" s="8" t="s">
        <v>10840</v>
      </c>
      <c r="F1880" s="8" t="s">
        <v>10841</v>
      </c>
      <c r="G1880" s="6" t="s">
        <v>38</v>
      </c>
      <c r="H1880" s="6" t="s">
        <v>39</v>
      </c>
      <c r="I1880" s="8" t="s">
        <v>40</v>
      </c>
      <c r="J1880" s="9">
        <v>1</v>
      </c>
      <c r="K1880" s="9">
        <v>311</v>
      </c>
      <c r="L1880" s="9">
        <v>2022</v>
      </c>
      <c r="M1880" s="8" t="s">
        <v>10842</v>
      </c>
      <c r="N1880" s="8" t="s">
        <v>42</v>
      </c>
      <c r="O1880" s="8" t="s">
        <v>43</v>
      </c>
      <c r="P1880" s="6" t="s">
        <v>44</v>
      </c>
      <c r="Q1880" s="8" t="s">
        <v>45</v>
      </c>
      <c r="R1880" s="10" t="s">
        <v>433</v>
      </c>
      <c r="S1880" s="11"/>
      <c r="T1880" s="6"/>
      <c r="U1880" s="24" t="str">
        <f>HYPERLINK("https://media.infra-m.ru/1681/1681993/cover/1681993.jpg", "Обложка")</f>
        <v>Обложка</v>
      </c>
      <c r="V1880" s="24" t="str">
        <f>HYPERLINK("https://znanium.ru/catalog/product/1681993", "Ознакомиться")</f>
        <v>Ознакомиться</v>
      </c>
      <c r="W1880" s="8" t="s">
        <v>1529</v>
      </c>
      <c r="X1880" s="6"/>
      <c r="Y1880" s="6"/>
      <c r="Z1880" s="6"/>
      <c r="AA1880" s="6" t="s">
        <v>168</v>
      </c>
      <c r="AB1880" s="8"/>
    </row>
    <row r="1881" spans="1:28" s="4" customFormat="1" ht="51.95" customHeight="1">
      <c r="A1881" s="5">
        <v>0</v>
      </c>
      <c r="B1881" s="6" t="s">
        <v>10843</v>
      </c>
      <c r="C1881" s="7">
        <v>1224</v>
      </c>
      <c r="D1881" s="8" t="s">
        <v>10844</v>
      </c>
      <c r="E1881" s="8" t="s">
        <v>10845</v>
      </c>
      <c r="F1881" s="8" t="s">
        <v>10846</v>
      </c>
      <c r="G1881" s="6" t="s">
        <v>132</v>
      </c>
      <c r="H1881" s="6" t="s">
        <v>99</v>
      </c>
      <c r="I1881" s="8"/>
      <c r="J1881" s="9">
        <v>1</v>
      </c>
      <c r="K1881" s="9">
        <v>204</v>
      </c>
      <c r="L1881" s="9">
        <v>2024</v>
      </c>
      <c r="M1881" s="8" t="s">
        <v>10847</v>
      </c>
      <c r="N1881" s="8" t="s">
        <v>42</v>
      </c>
      <c r="O1881" s="8" t="s">
        <v>101</v>
      </c>
      <c r="P1881" s="6" t="s">
        <v>44</v>
      </c>
      <c r="Q1881" s="8" t="s">
        <v>45</v>
      </c>
      <c r="R1881" s="10" t="s">
        <v>10848</v>
      </c>
      <c r="S1881" s="11"/>
      <c r="T1881" s="6"/>
      <c r="U1881" s="24" t="str">
        <f>HYPERLINK("https://media.infra-m.ru/2157/2157346/cover/2157346.jpg", "Обложка")</f>
        <v>Обложка</v>
      </c>
      <c r="V1881" s="24" t="str">
        <f>HYPERLINK("https://znanium.ru/catalog/product/2157346", "Ознакомиться")</f>
        <v>Ознакомиться</v>
      </c>
      <c r="W1881" s="8" t="s">
        <v>418</v>
      </c>
      <c r="X1881" s="6"/>
      <c r="Y1881" s="6"/>
      <c r="Z1881" s="6"/>
      <c r="AA1881" s="6" t="s">
        <v>58</v>
      </c>
      <c r="AB1881" s="8"/>
    </row>
    <row r="1882" spans="1:28" s="4" customFormat="1" ht="51.95" customHeight="1">
      <c r="A1882" s="5">
        <v>0</v>
      </c>
      <c r="B1882" s="6" t="s">
        <v>10849</v>
      </c>
      <c r="C1882" s="7">
        <v>1925.9</v>
      </c>
      <c r="D1882" s="8" t="s">
        <v>10850</v>
      </c>
      <c r="E1882" s="8" t="s">
        <v>10851</v>
      </c>
      <c r="F1882" s="8" t="s">
        <v>3375</v>
      </c>
      <c r="G1882" s="6" t="s">
        <v>132</v>
      </c>
      <c r="H1882" s="6" t="s">
        <v>39</v>
      </c>
      <c r="I1882" s="8" t="s">
        <v>40</v>
      </c>
      <c r="J1882" s="9">
        <v>1</v>
      </c>
      <c r="K1882" s="9">
        <v>356</v>
      </c>
      <c r="L1882" s="9">
        <v>2023</v>
      </c>
      <c r="M1882" s="8" t="s">
        <v>10852</v>
      </c>
      <c r="N1882" s="8" t="s">
        <v>42</v>
      </c>
      <c r="O1882" s="8" t="s">
        <v>43</v>
      </c>
      <c r="P1882" s="6" t="s">
        <v>44</v>
      </c>
      <c r="Q1882" s="8" t="s">
        <v>45</v>
      </c>
      <c r="R1882" s="10" t="s">
        <v>10853</v>
      </c>
      <c r="S1882" s="11"/>
      <c r="T1882" s="6"/>
      <c r="U1882" s="24" t="str">
        <f>HYPERLINK("https://media.infra-m.ru/2030/2030878/cover/2030878.jpg", "Обложка")</f>
        <v>Обложка</v>
      </c>
      <c r="V1882" s="24" t="str">
        <f>HYPERLINK("https://znanium.ru/catalog/product/999880", "Ознакомиться")</f>
        <v>Ознакомиться</v>
      </c>
      <c r="W1882" s="8" t="s">
        <v>3378</v>
      </c>
      <c r="X1882" s="6"/>
      <c r="Y1882" s="6"/>
      <c r="Z1882" s="6"/>
      <c r="AA1882" s="6" t="s">
        <v>177</v>
      </c>
      <c r="AB1882" s="8"/>
    </row>
    <row r="1883" spans="1:28" s="4" customFormat="1" ht="51.95" customHeight="1">
      <c r="A1883" s="5">
        <v>0</v>
      </c>
      <c r="B1883" s="6" t="s">
        <v>10854</v>
      </c>
      <c r="C1883" s="13">
        <v>852</v>
      </c>
      <c r="D1883" s="8" t="s">
        <v>10855</v>
      </c>
      <c r="E1883" s="8" t="s">
        <v>10856</v>
      </c>
      <c r="F1883" s="8" t="s">
        <v>10857</v>
      </c>
      <c r="G1883" s="6" t="s">
        <v>38</v>
      </c>
      <c r="H1883" s="6" t="s">
        <v>39</v>
      </c>
      <c r="I1883" s="8"/>
      <c r="J1883" s="9">
        <v>1</v>
      </c>
      <c r="K1883" s="9">
        <v>112</v>
      </c>
      <c r="L1883" s="9">
        <v>2026</v>
      </c>
      <c r="M1883" s="8" t="s">
        <v>10858</v>
      </c>
      <c r="N1883" s="8" t="s">
        <v>54</v>
      </c>
      <c r="O1883" s="8" t="s">
        <v>117</v>
      </c>
      <c r="P1883" s="6" t="s">
        <v>44</v>
      </c>
      <c r="Q1883" s="8" t="s">
        <v>45</v>
      </c>
      <c r="R1883" s="10" t="s">
        <v>3669</v>
      </c>
      <c r="S1883" s="11"/>
      <c r="T1883" s="6"/>
      <c r="U1883" s="24" t="str">
        <f>HYPERLINK("https://media.infra-m.ru/2213/2213186/cover/2213186.jpg", "Обложка")</f>
        <v>Обложка</v>
      </c>
      <c r="V1883" s="24" t="str">
        <f>HYPERLINK("https://znanium.ru/catalog/product/2213186", "Ознакомиться")</f>
        <v>Ознакомиться</v>
      </c>
      <c r="W1883" s="8" t="s">
        <v>3107</v>
      </c>
      <c r="X1883" s="6"/>
      <c r="Y1883" s="6"/>
      <c r="Z1883" s="6"/>
      <c r="AA1883" s="6" t="s">
        <v>536</v>
      </c>
      <c r="AB1883" s="8"/>
    </row>
    <row r="1884" spans="1:28" s="4" customFormat="1" ht="42" customHeight="1">
      <c r="A1884" s="5">
        <v>0</v>
      </c>
      <c r="B1884" s="6" t="s">
        <v>10859</v>
      </c>
      <c r="C1884" s="13">
        <v>708</v>
      </c>
      <c r="D1884" s="8" t="s">
        <v>10860</v>
      </c>
      <c r="E1884" s="8" t="s">
        <v>10861</v>
      </c>
      <c r="F1884" s="8" t="s">
        <v>10862</v>
      </c>
      <c r="G1884" s="6" t="s">
        <v>38</v>
      </c>
      <c r="H1884" s="6" t="s">
        <v>39</v>
      </c>
      <c r="I1884" s="8" t="s">
        <v>2342</v>
      </c>
      <c r="J1884" s="9">
        <v>1</v>
      </c>
      <c r="K1884" s="9">
        <v>127</v>
      </c>
      <c r="L1884" s="9">
        <v>2024</v>
      </c>
      <c r="M1884" s="8" t="s">
        <v>10863</v>
      </c>
      <c r="N1884" s="8" t="s">
        <v>54</v>
      </c>
      <c r="O1884" s="8" t="s">
        <v>55</v>
      </c>
      <c r="P1884" s="6" t="s">
        <v>44</v>
      </c>
      <c r="Q1884" s="8" t="s">
        <v>45</v>
      </c>
      <c r="R1884" s="10" t="s">
        <v>10864</v>
      </c>
      <c r="S1884" s="11"/>
      <c r="T1884" s="6"/>
      <c r="U1884" s="24" t="str">
        <f>HYPERLINK("https://media.infra-m.ru/2080/2080951/cover/2080951.jpg", "Обложка")</f>
        <v>Обложка</v>
      </c>
      <c r="V1884" s="24" t="str">
        <f>HYPERLINK("https://znanium.ru/catalog/product/2080951", "Ознакомиться")</f>
        <v>Ознакомиться</v>
      </c>
      <c r="W1884" s="8" t="s">
        <v>232</v>
      </c>
      <c r="X1884" s="6"/>
      <c r="Y1884" s="6"/>
      <c r="Z1884" s="6"/>
      <c r="AA1884" s="6" t="s">
        <v>76</v>
      </c>
      <c r="AB1884" s="8"/>
    </row>
    <row r="1885" spans="1:28" s="4" customFormat="1" ht="51.95" customHeight="1">
      <c r="A1885" s="5">
        <v>0</v>
      </c>
      <c r="B1885" s="6" t="s">
        <v>10865</v>
      </c>
      <c r="C1885" s="7">
        <v>1188</v>
      </c>
      <c r="D1885" s="8" t="s">
        <v>10866</v>
      </c>
      <c r="E1885" s="8" t="s">
        <v>10867</v>
      </c>
      <c r="F1885" s="8" t="s">
        <v>703</v>
      </c>
      <c r="G1885" s="6" t="s">
        <v>38</v>
      </c>
      <c r="H1885" s="6" t="s">
        <v>39</v>
      </c>
      <c r="I1885" s="8" t="s">
        <v>40</v>
      </c>
      <c r="J1885" s="9">
        <v>1</v>
      </c>
      <c r="K1885" s="9">
        <v>195</v>
      </c>
      <c r="L1885" s="9">
        <v>2025</v>
      </c>
      <c r="M1885" s="8" t="s">
        <v>10868</v>
      </c>
      <c r="N1885" s="8" t="s">
        <v>54</v>
      </c>
      <c r="O1885" s="8" t="s">
        <v>55</v>
      </c>
      <c r="P1885" s="6" t="s">
        <v>44</v>
      </c>
      <c r="Q1885" s="8" t="s">
        <v>45</v>
      </c>
      <c r="R1885" s="10" t="s">
        <v>10869</v>
      </c>
      <c r="S1885" s="11"/>
      <c r="T1885" s="6"/>
      <c r="U1885" s="24" t="str">
        <f>HYPERLINK("https://media.infra-m.ru/2175/2175578/cover/2175578.jpg", "Обложка")</f>
        <v>Обложка</v>
      </c>
      <c r="V1885" s="24" t="str">
        <f>HYPERLINK("https://znanium.ru/catalog/product/2175578", "Ознакомиться")</f>
        <v>Ознакомиться</v>
      </c>
      <c r="W1885" s="8" t="s">
        <v>535</v>
      </c>
      <c r="X1885" s="6"/>
      <c r="Y1885" s="6"/>
      <c r="Z1885" s="6"/>
      <c r="AA1885" s="6" t="s">
        <v>339</v>
      </c>
      <c r="AB1885" s="8"/>
    </row>
    <row r="1886" spans="1:28" s="4" customFormat="1" ht="42" customHeight="1">
      <c r="A1886" s="5">
        <v>0</v>
      </c>
      <c r="B1886" s="6" t="s">
        <v>10870</v>
      </c>
      <c r="C1886" s="13">
        <v>616.79999999999995</v>
      </c>
      <c r="D1886" s="8" t="s">
        <v>10871</v>
      </c>
      <c r="E1886" s="8" t="s">
        <v>10872</v>
      </c>
      <c r="F1886" s="8" t="s">
        <v>10873</v>
      </c>
      <c r="G1886" s="6" t="s">
        <v>38</v>
      </c>
      <c r="H1886" s="6" t="s">
        <v>39</v>
      </c>
      <c r="I1886" s="8" t="s">
        <v>40</v>
      </c>
      <c r="J1886" s="9">
        <v>1</v>
      </c>
      <c r="K1886" s="9">
        <v>106</v>
      </c>
      <c r="L1886" s="9">
        <v>2024</v>
      </c>
      <c r="M1886" s="8" t="s">
        <v>10874</v>
      </c>
      <c r="N1886" s="8" t="s">
        <v>54</v>
      </c>
      <c r="O1886" s="8" t="s">
        <v>55</v>
      </c>
      <c r="P1886" s="6" t="s">
        <v>44</v>
      </c>
      <c r="Q1886" s="8" t="s">
        <v>45</v>
      </c>
      <c r="R1886" s="10" t="s">
        <v>10875</v>
      </c>
      <c r="S1886" s="11"/>
      <c r="T1886" s="6"/>
      <c r="U1886" s="24" t="str">
        <f>HYPERLINK("https://media.infra-m.ru/2151/2151399/cover/2151399.jpg", "Обложка")</f>
        <v>Обложка</v>
      </c>
      <c r="V1886" s="24" t="str">
        <f>HYPERLINK("https://znanium.ru/catalog/product/2151399", "Ознакомиться")</f>
        <v>Ознакомиться</v>
      </c>
      <c r="W1886" s="8" t="s">
        <v>10249</v>
      </c>
      <c r="X1886" s="6"/>
      <c r="Y1886" s="6"/>
      <c r="Z1886" s="6"/>
      <c r="AA1886" s="6" t="s">
        <v>369</v>
      </c>
      <c r="AB1886" s="8"/>
    </row>
    <row r="1887" spans="1:28" s="4" customFormat="1" ht="42" customHeight="1">
      <c r="A1887" s="5">
        <v>0</v>
      </c>
      <c r="B1887" s="6" t="s">
        <v>10876</v>
      </c>
      <c r="C1887" s="7">
        <v>1264.8</v>
      </c>
      <c r="D1887" s="8" t="s">
        <v>10877</v>
      </c>
      <c r="E1887" s="8" t="s">
        <v>10878</v>
      </c>
      <c r="F1887" s="8" t="s">
        <v>10879</v>
      </c>
      <c r="G1887" s="6" t="s">
        <v>81</v>
      </c>
      <c r="H1887" s="6" t="s">
        <v>39</v>
      </c>
      <c r="I1887" s="8" t="s">
        <v>1055</v>
      </c>
      <c r="J1887" s="9">
        <v>1</v>
      </c>
      <c r="K1887" s="9">
        <v>196</v>
      </c>
      <c r="L1887" s="9">
        <v>2025</v>
      </c>
      <c r="M1887" s="8" t="s">
        <v>10880</v>
      </c>
      <c r="N1887" s="8" t="s">
        <v>42</v>
      </c>
      <c r="O1887" s="8" t="s">
        <v>43</v>
      </c>
      <c r="P1887" s="6" t="s">
        <v>1057</v>
      </c>
      <c r="Q1887" s="8" t="s">
        <v>287</v>
      </c>
      <c r="R1887" s="10" t="s">
        <v>10881</v>
      </c>
      <c r="S1887" s="11"/>
      <c r="T1887" s="6"/>
      <c r="U1887" s="24" t="str">
        <f>HYPERLINK("https://media.infra-m.ru/2217/2217355/cover/2217355.jpg", "Обложка")</f>
        <v>Обложка</v>
      </c>
      <c r="V1887" s="24" t="str">
        <f>HYPERLINK("https://znanium.ru/catalog/product/2212252", "Ознакомиться")</f>
        <v>Ознакомиться</v>
      </c>
      <c r="W1887" s="8" t="s">
        <v>2047</v>
      </c>
      <c r="X1887" s="6"/>
      <c r="Y1887" s="6"/>
      <c r="Z1887" s="6"/>
      <c r="AA1887" s="6" t="s">
        <v>159</v>
      </c>
      <c r="AB1887" s="8"/>
    </row>
    <row r="1888" spans="1:28" s="4" customFormat="1" ht="51.95" customHeight="1">
      <c r="A1888" s="5">
        <v>0</v>
      </c>
      <c r="B1888" s="6" t="s">
        <v>10882</v>
      </c>
      <c r="C1888" s="7">
        <v>1416</v>
      </c>
      <c r="D1888" s="8" t="s">
        <v>10883</v>
      </c>
      <c r="E1888" s="8" t="s">
        <v>10884</v>
      </c>
      <c r="F1888" s="8" t="s">
        <v>10885</v>
      </c>
      <c r="G1888" s="6" t="s">
        <v>38</v>
      </c>
      <c r="H1888" s="6" t="s">
        <v>39</v>
      </c>
      <c r="I1888" s="8" t="s">
        <v>40</v>
      </c>
      <c r="J1888" s="9">
        <v>1</v>
      </c>
      <c r="K1888" s="9">
        <v>256</v>
      </c>
      <c r="L1888" s="9">
        <v>2024</v>
      </c>
      <c r="M1888" s="8" t="s">
        <v>10886</v>
      </c>
      <c r="N1888" s="8" t="s">
        <v>42</v>
      </c>
      <c r="O1888" s="8" t="s">
        <v>1002</v>
      </c>
      <c r="P1888" s="6" t="s">
        <v>44</v>
      </c>
      <c r="Q1888" s="8" t="s">
        <v>45</v>
      </c>
      <c r="R1888" s="10" t="s">
        <v>10887</v>
      </c>
      <c r="S1888" s="11"/>
      <c r="T1888" s="6"/>
      <c r="U1888" s="24" t="str">
        <f>HYPERLINK("https://media.infra-m.ru/2113/2113800/cover/2113800.jpg", "Обложка")</f>
        <v>Обложка</v>
      </c>
      <c r="V1888" s="24" t="str">
        <f>HYPERLINK("https://znanium.ru/catalog/product/2113800", "Ознакомиться")</f>
        <v>Ознакомиться</v>
      </c>
      <c r="W1888" s="8" t="s">
        <v>3449</v>
      </c>
      <c r="X1888" s="6"/>
      <c r="Y1888" s="6"/>
      <c r="Z1888" s="6"/>
      <c r="AA1888" s="6" t="s">
        <v>168</v>
      </c>
      <c r="AB1888" s="8"/>
    </row>
    <row r="1889" spans="1:28" s="4" customFormat="1" ht="42" customHeight="1">
      <c r="A1889" s="5">
        <v>0</v>
      </c>
      <c r="B1889" s="6" t="s">
        <v>10888</v>
      </c>
      <c r="C1889" s="7">
        <v>2656.8</v>
      </c>
      <c r="D1889" s="8" t="s">
        <v>10889</v>
      </c>
      <c r="E1889" s="8" t="s">
        <v>10890</v>
      </c>
      <c r="F1889" s="8" t="s">
        <v>10891</v>
      </c>
      <c r="G1889" s="6" t="s">
        <v>132</v>
      </c>
      <c r="H1889" s="6" t="s">
        <v>99</v>
      </c>
      <c r="I1889" s="8"/>
      <c r="J1889" s="9">
        <v>1</v>
      </c>
      <c r="K1889" s="9">
        <v>672</v>
      </c>
      <c r="L1889" s="9">
        <v>2021</v>
      </c>
      <c r="M1889" s="8" t="s">
        <v>10892</v>
      </c>
      <c r="N1889" s="8" t="s">
        <v>42</v>
      </c>
      <c r="O1889" s="8" t="s">
        <v>101</v>
      </c>
      <c r="P1889" s="6" t="s">
        <v>44</v>
      </c>
      <c r="Q1889" s="8" t="s">
        <v>45</v>
      </c>
      <c r="R1889" s="10" t="s">
        <v>874</v>
      </c>
      <c r="S1889" s="11"/>
      <c r="T1889" s="6"/>
      <c r="U1889" s="24" t="str">
        <f>HYPERLINK("https://media.infra-m.ru/1240/1240964/cover/1240964.jpg", "Обложка")</f>
        <v>Обложка</v>
      </c>
      <c r="V1889" s="24" t="str">
        <f>HYPERLINK("https://znanium.ru/catalog/product/1240964", "Ознакомиться")</f>
        <v>Ознакомиться</v>
      </c>
      <c r="W1889" s="8" t="s">
        <v>418</v>
      </c>
      <c r="X1889" s="6"/>
      <c r="Y1889" s="6"/>
      <c r="Z1889" s="6"/>
      <c r="AA1889" s="6" t="s">
        <v>10893</v>
      </c>
      <c r="AB1889" s="8"/>
    </row>
    <row r="1890" spans="1:28" s="4" customFormat="1" ht="51.95" customHeight="1">
      <c r="A1890" s="5">
        <v>0</v>
      </c>
      <c r="B1890" s="6" t="s">
        <v>10894</v>
      </c>
      <c r="C1890" s="7">
        <v>1716</v>
      </c>
      <c r="D1890" s="8" t="s">
        <v>10895</v>
      </c>
      <c r="E1890" s="8" t="s">
        <v>10896</v>
      </c>
      <c r="F1890" s="8" t="s">
        <v>10897</v>
      </c>
      <c r="G1890" s="6" t="s">
        <v>132</v>
      </c>
      <c r="H1890" s="6" t="s">
        <v>39</v>
      </c>
      <c r="I1890" s="8" t="s">
        <v>40</v>
      </c>
      <c r="J1890" s="9">
        <v>1</v>
      </c>
      <c r="K1890" s="9">
        <v>460</v>
      </c>
      <c r="L1890" s="9">
        <v>2018</v>
      </c>
      <c r="M1890" s="8" t="s">
        <v>10898</v>
      </c>
      <c r="N1890" s="8" t="s">
        <v>42</v>
      </c>
      <c r="O1890" s="8" t="s">
        <v>189</v>
      </c>
      <c r="P1890" s="6" t="s">
        <v>44</v>
      </c>
      <c r="Q1890" s="8" t="s">
        <v>45</v>
      </c>
      <c r="R1890" s="10" t="s">
        <v>10899</v>
      </c>
      <c r="S1890" s="11"/>
      <c r="T1890" s="6" t="s">
        <v>1080</v>
      </c>
      <c r="U1890" s="24" t="str">
        <f>HYPERLINK("https://media.infra-m.ru/0922/0922658/cover/922658.jpg", "Обложка")</f>
        <v>Обложка</v>
      </c>
      <c r="V1890" s="24" t="str">
        <f>HYPERLINK("https://znanium.ru/catalog/product/1087982", "Ознакомиться")</f>
        <v>Ознакомиться</v>
      </c>
      <c r="W1890" s="8" t="s">
        <v>1475</v>
      </c>
      <c r="X1890" s="6"/>
      <c r="Y1890" s="6"/>
      <c r="Z1890" s="6"/>
      <c r="AA1890" s="6" t="s">
        <v>277</v>
      </c>
      <c r="AB1890" s="8"/>
    </row>
    <row r="1891" spans="1:28" s="4" customFormat="1" ht="51.95" customHeight="1">
      <c r="A1891" s="5">
        <v>0</v>
      </c>
      <c r="B1891" s="6" t="s">
        <v>10900</v>
      </c>
      <c r="C1891" s="7">
        <v>1884</v>
      </c>
      <c r="D1891" s="8" t="s">
        <v>10901</v>
      </c>
      <c r="E1891" s="8" t="s">
        <v>10902</v>
      </c>
      <c r="F1891" s="8" t="s">
        <v>10897</v>
      </c>
      <c r="G1891" s="6" t="s">
        <v>81</v>
      </c>
      <c r="H1891" s="6" t="s">
        <v>39</v>
      </c>
      <c r="I1891" s="8" t="s">
        <v>40</v>
      </c>
      <c r="J1891" s="9">
        <v>1</v>
      </c>
      <c r="K1891" s="9">
        <v>598</v>
      </c>
      <c r="L1891" s="9">
        <v>2019</v>
      </c>
      <c r="M1891" s="8" t="s">
        <v>10903</v>
      </c>
      <c r="N1891" s="8" t="s">
        <v>42</v>
      </c>
      <c r="O1891" s="8" t="s">
        <v>189</v>
      </c>
      <c r="P1891" s="6" t="s">
        <v>44</v>
      </c>
      <c r="Q1891" s="8" t="s">
        <v>45</v>
      </c>
      <c r="R1891" s="10" t="s">
        <v>10899</v>
      </c>
      <c r="S1891" s="11"/>
      <c r="T1891" s="6" t="s">
        <v>1080</v>
      </c>
      <c r="U1891" s="24" t="str">
        <f>HYPERLINK("https://media.infra-m.ru/1007/1007988/cover/1007988.jpg", "Обложка")</f>
        <v>Обложка</v>
      </c>
      <c r="V1891" s="24" t="str">
        <f>HYPERLINK("https://znanium.ru/catalog/product/1087982", "Ознакомиться")</f>
        <v>Ознакомиться</v>
      </c>
      <c r="W1891" s="8" t="s">
        <v>1475</v>
      </c>
      <c r="X1891" s="6"/>
      <c r="Y1891" s="6"/>
      <c r="Z1891" s="6"/>
      <c r="AA1891" s="6" t="s">
        <v>1826</v>
      </c>
      <c r="AB1891" s="8"/>
    </row>
    <row r="1892" spans="1:28" s="4" customFormat="1" ht="51.95" customHeight="1">
      <c r="A1892" s="5">
        <v>0</v>
      </c>
      <c r="B1892" s="6" t="s">
        <v>10904</v>
      </c>
      <c r="C1892" s="7">
        <v>2416.8000000000002</v>
      </c>
      <c r="D1892" s="8" t="s">
        <v>10905</v>
      </c>
      <c r="E1892" s="8" t="s">
        <v>10906</v>
      </c>
      <c r="F1892" s="8" t="s">
        <v>10907</v>
      </c>
      <c r="G1892" s="6" t="s">
        <v>81</v>
      </c>
      <c r="H1892" s="6" t="s">
        <v>39</v>
      </c>
      <c r="I1892" s="8" t="s">
        <v>40</v>
      </c>
      <c r="J1892" s="9">
        <v>1</v>
      </c>
      <c r="K1892" s="9">
        <v>596</v>
      </c>
      <c r="L1892" s="9">
        <v>2024</v>
      </c>
      <c r="M1892" s="8" t="s">
        <v>10908</v>
      </c>
      <c r="N1892" s="8" t="s">
        <v>42</v>
      </c>
      <c r="O1892" s="8" t="s">
        <v>189</v>
      </c>
      <c r="P1892" s="6" t="s">
        <v>44</v>
      </c>
      <c r="Q1892" s="8" t="s">
        <v>45</v>
      </c>
      <c r="R1892" s="10" t="s">
        <v>10899</v>
      </c>
      <c r="S1892" s="11"/>
      <c r="T1892" s="6"/>
      <c r="U1892" s="24" t="str">
        <f>HYPERLINK("https://media.infra-m.ru/2102/2102711/cover/2102711.jpg", "Обложка")</f>
        <v>Обложка</v>
      </c>
      <c r="V1892" s="24" t="str">
        <f>HYPERLINK("https://znanium.ru/catalog/product/1087982", "Ознакомиться")</f>
        <v>Ознакомиться</v>
      </c>
      <c r="W1892" s="8" t="s">
        <v>1475</v>
      </c>
      <c r="X1892" s="6"/>
      <c r="Y1892" s="6"/>
      <c r="Z1892" s="6"/>
      <c r="AA1892" s="6" t="s">
        <v>10909</v>
      </c>
      <c r="AB1892" s="8"/>
    </row>
    <row r="1893" spans="1:28" s="4" customFormat="1" ht="42" customHeight="1">
      <c r="A1893" s="5">
        <v>0</v>
      </c>
      <c r="B1893" s="6" t="s">
        <v>10910</v>
      </c>
      <c r="C1893" s="13">
        <v>996</v>
      </c>
      <c r="D1893" s="8" t="s">
        <v>10911</v>
      </c>
      <c r="E1893" s="8" t="s">
        <v>10912</v>
      </c>
      <c r="F1893" s="8" t="s">
        <v>10913</v>
      </c>
      <c r="G1893" s="6" t="s">
        <v>38</v>
      </c>
      <c r="H1893" s="6" t="s">
        <v>39</v>
      </c>
      <c r="I1893" s="8" t="s">
        <v>40</v>
      </c>
      <c r="J1893" s="9">
        <v>1</v>
      </c>
      <c r="K1893" s="9">
        <v>214</v>
      </c>
      <c r="L1893" s="9">
        <v>2022</v>
      </c>
      <c r="M1893" s="8" t="s">
        <v>10914</v>
      </c>
      <c r="N1893" s="8" t="s">
        <v>42</v>
      </c>
      <c r="O1893" s="8" t="s">
        <v>189</v>
      </c>
      <c r="P1893" s="6" t="s">
        <v>44</v>
      </c>
      <c r="Q1893" s="8" t="s">
        <v>45</v>
      </c>
      <c r="R1893" s="10" t="s">
        <v>10915</v>
      </c>
      <c r="S1893" s="11"/>
      <c r="T1893" s="6"/>
      <c r="U1893" s="24" t="str">
        <f>HYPERLINK("https://media.infra-m.ru/1846/1846274/cover/1846274.jpg", "Обложка")</f>
        <v>Обложка</v>
      </c>
      <c r="V1893" s="24" t="str">
        <f>HYPERLINK("https://znanium.ru/catalog/product/1846274", "Ознакомиться")</f>
        <v>Ознакомиться</v>
      </c>
      <c r="W1893" s="8" t="s">
        <v>10916</v>
      </c>
      <c r="X1893" s="6"/>
      <c r="Y1893" s="6"/>
      <c r="Z1893" s="6"/>
      <c r="AA1893" s="6" t="s">
        <v>369</v>
      </c>
      <c r="AB1893" s="8"/>
    </row>
    <row r="1894" spans="1:28" s="4" customFormat="1" ht="51.95" customHeight="1">
      <c r="A1894" s="5">
        <v>0</v>
      </c>
      <c r="B1894" s="6" t="s">
        <v>10917</v>
      </c>
      <c r="C1894" s="13">
        <v>869.9</v>
      </c>
      <c r="D1894" s="8" t="s">
        <v>10918</v>
      </c>
      <c r="E1894" s="8" t="s">
        <v>10919</v>
      </c>
      <c r="F1894" s="8" t="s">
        <v>1668</v>
      </c>
      <c r="G1894" s="6" t="s">
        <v>38</v>
      </c>
      <c r="H1894" s="6" t="s">
        <v>571</v>
      </c>
      <c r="I1894" s="8"/>
      <c r="J1894" s="9">
        <v>1</v>
      </c>
      <c r="K1894" s="9">
        <v>160</v>
      </c>
      <c r="L1894" s="9">
        <v>2023</v>
      </c>
      <c r="M1894" s="8" t="s">
        <v>10920</v>
      </c>
      <c r="N1894" s="8" t="s">
        <v>42</v>
      </c>
      <c r="O1894" s="8" t="s">
        <v>189</v>
      </c>
      <c r="P1894" s="6" t="s">
        <v>44</v>
      </c>
      <c r="Q1894" s="8" t="s">
        <v>45</v>
      </c>
      <c r="R1894" s="10" t="s">
        <v>10921</v>
      </c>
      <c r="S1894" s="11"/>
      <c r="T1894" s="6"/>
      <c r="U1894" s="24" t="str">
        <f>HYPERLINK("https://media.infra-m.ru/1981/1981656/cover/1981656.jpg", "Обложка")</f>
        <v>Обложка</v>
      </c>
      <c r="V1894" s="24" t="str">
        <f>HYPERLINK("https://znanium.ru/catalog/product/961433", "Ознакомиться")</f>
        <v>Ознакомиться</v>
      </c>
      <c r="W1894" s="8" t="s">
        <v>1671</v>
      </c>
      <c r="X1894" s="6"/>
      <c r="Y1894" s="6"/>
      <c r="Z1894" s="6"/>
      <c r="AA1894" s="6" t="s">
        <v>127</v>
      </c>
      <c r="AB1894" s="8"/>
    </row>
    <row r="1895" spans="1:28" s="4" customFormat="1" ht="44.1" customHeight="1">
      <c r="A1895" s="5">
        <v>0</v>
      </c>
      <c r="B1895" s="6" t="s">
        <v>10922</v>
      </c>
      <c r="C1895" s="7">
        <v>1536</v>
      </c>
      <c r="D1895" s="8" t="s">
        <v>10923</v>
      </c>
      <c r="E1895" s="8" t="s">
        <v>10924</v>
      </c>
      <c r="F1895" s="8" t="s">
        <v>10925</v>
      </c>
      <c r="G1895" s="6" t="s">
        <v>38</v>
      </c>
      <c r="H1895" s="6" t="s">
        <v>99</v>
      </c>
      <c r="I1895" s="8"/>
      <c r="J1895" s="9">
        <v>1</v>
      </c>
      <c r="K1895" s="9">
        <v>272</v>
      </c>
      <c r="L1895" s="9">
        <v>2024</v>
      </c>
      <c r="M1895" s="8" t="s">
        <v>10926</v>
      </c>
      <c r="N1895" s="8" t="s">
        <v>42</v>
      </c>
      <c r="O1895" s="8" t="s">
        <v>101</v>
      </c>
      <c r="P1895" s="6" t="s">
        <v>44</v>
      </c>
      <c r="Q1895" s="8" t="s">
        <v>1152</v>
      </c>
      <c r="R1895" s="10" t="s">
        <v>10927</v>
      </c>
      <c r="S1895" s="11"/>
      <c r="T1895" s="6"/>
      <c r="U1895" s="24" t="str">
        <f>HYPERLINK("https://media.infra-m.ru/2155/2155754/cover/2155754.jpg", "Обложка")</f>
        <v>Обложка</v>
      </c>
      <c r="V1895" s="24" t="str">
        <f>HYPERLINK("https://znanium.ru/catalog/product/2155754", "Ознакомиться")</f>
        <v>Ознакомиться</v>
      </c>
      <c r="W1895" s="8" t="s">
        <v>7359</v>
      </c>
      <c r="X1895" s="6"/>
      <c r="Y1895" s="6"/>
      <c r="Z1895" s="6"/>
      <c r="AA1895" s="6" t="s">
        <v>377</v>
      </c>
      <c r="AB1895" s="8"/>
    </row>
    <row r="1896" spans="1:28" s="4" customFormat="1" ht="51.95" customHeight="1">
      <c r="A1896" s="5">
        <v>0</v>
      </c>
      <c r="B1896" s="6" t="s">
        <v>10928</v>
      </c>
      <c r="C1896" s="7">
        <v>1032</v>
      </c>
      <c r="D1896" s="8" t="s">
        <v>10929</v>
      </c>
      <c r="E1896" s="8" t="s">
        <v>10930</v>
      </c>
      <c r="F1896" s="8" t="s">
        <v>1359</v>
      </c>
      <c r="G1896" s="6" t="s">
        <v>38</v>
      </c>
      <c r="H1896" s="6" t="s">
        <v>39</v>
      </c>
      <c r="I1896" s="8" t="s">
        <v>40</v>
      </c>
      <c r="J1896" s="9">
        <v>1</v>
      </c>
      <c r="K1896" s="9">
        <v>182</v>
      </c>
      <c r="L1896" s="9">
        <v>2024</v>
      </c>
      <c r="M1896" s="8" t="s">
        <v>10931</v>
      </c>
      <c r="N1896" s="8" t="s">
        <v>284</v>
      </c>
      <c r="O1896" s="8" t="s">
        <v>328</v>
      </c>
      <c r="P1896" s="6" t="s">
        <v>44</v>
      </c>
      <c r="Q1896" s="8" t="s">
        <v>45</v>
      </c>
      <c r="R1896" s="10" t="s">
        <v>10932</v>
      </c>
      <c r="S1896" s="11"/>
      <c r="T1896" s="6"/>
      <c r="U1896" s="24" t="str">
        <f>HYPERLINK("https://media.infra-m.ru/2125/2125181/cover/2125181.jpg", "Обложка")</f>
        <v>Обложка</v>
      </c>
      <c r="V1896" s="24" t="str">
        <f>HYPERLINK("https://znanium.ru/catalog/product/2125181", "Ознакомиться")</f>
        <v>Ознакомиться</v>
      </c>
      <c r="W1896" s="8" t="s">
        <v>1362</v>
      </c>
      <c r="X1896" s="6"/>
      <c r="Y1896" s="6"/>
      <c r="Z1896" s="6"/>
      <c r="AA1896" s="6" t="s">
        <v>48</v>
      </c>
      <c r="AB1896" s="8"/>
    </row>
    <row r="1897" spans="1:28" s="4" customFormat="1" ht="44.1" customHeight="1">
      <c r="A1897" s="5">
        <v>0</v>
      </c>
      <c r="B1897" s="6" t="s">
        <v>10933</v>
      </c>
      <c r="C1897" s="7">
        <v>1188</v>
      </c>
      <c r="D1897" s="8" t="s">
        <v>10934</v>
      </c>
      <c r="E1897" s="8" t="s">
        <v>10935</v>
      </c>
      <c r="F1897" s="8" t="s">
        <v>10936</v>
      </c>
      <c r="G1897" s="6" t="s">
        <v>132</v>
      </c>
      <c r="H1897" s="6" t="s">
        <v>39</v>
      </c>
      <c r="I1897" s="8" t="s">
        <v>40</v>
      </c>
      <c r="J1897" s="9">
        <v>1</v>
      </c>
      <c r="K1897" s="9">
        <v>189</v>
      </c>
      <c r="L1897" s="9">
        <v>2025</v>
      </c>
      <c r="M1897" s="8" t="s">
        <v>10937</v>
      </c>
      <c r="N1897" s="8" t="s">
        <v>54</v>
      </c>
      <c r="O1897" s="8" t="s">
        <v>91</v>
      </c>
      <c r="P1897" s="6" t="s">
        <v>44</v>
      </c>
      <c r="Q1897" s="8" t="s">
        <v>45</v>
      </c>
      <c r="R1897" s="10" t="s">
        <v>10938</v>
      </c>
      <c r="S1897" s="11"/>
      <c r="T1897" s="6"/>
      <c r="U1897" s="24" t="str">
        <f>HYPERLINK("https://media.infra-m.ru/2163/2163264/cover/2163264.jpg", "Обложка")</f>
        <v>Обложка</v>
      </c>
      <c r="V1897" s="24" t="str">
        <f>HYPERLINK("https://znanium.ru/catalog/product/2163264", "Ознакомиться")</f>
        <v>Ознакомиться</v>
      </c>
      <c r="W1897" s="8" t="s">
        <v>6338</v>
      </c>
      <c r="X1897" s="6" t="s">
        <v>558</v>
      </c>
      <c r="Y1897" s="6"/>
      <c r="Z1897" s="6"/>
      <c r="AA1897" s="6" t="s">
        <v>159</v>
      </c>
      <c r="AB1897" s="8"/>
    </row>
    <row r="1898" spans="1:28" s="4" customFormat="1" ht="51.95" customHeight="1">
      <c r="A1898" s="5">
        <v>0</v>
      </c>
      <c r="B1898" s="6" t="s">
        <v>10939</v>
      </c>
      <c r="C1898" s="7">
        <v>1312.8</v>
      </c>
      <c r="D1898" s="8" t="s">
        <v>10940</v>
      </c>
      <c r="E1898" s="8" t="s">
        <v>10941</v>
      </c>
      <c r="F1898" s="8" t="s">
        <v>10942</v>
      </c>
      <c r="G1898" s="6" t="s">
        <v>132</v>
      </c>
      <c r="H1898" s="6" t="s">
        <v>39</v>
      </c>
      <c r="I1898" s="8" t="s">
        <v>351</v>
      </c>
      <c r="J1898" s="9">
        <v>1</v>
      </c>
      <c r="K1898" s="9">
        <v>320</v>
      </c>
      <c r="L1898" s="9">
        <v>2019</v>
      </c>
      <c r="M1898" s="8" t="s">
        <v>10943</v>
      </c>
      <c r="N1898" s="8" t="s">
        <v>42</v>
      </c>
      <c r="O1898" s="8" t="s">
        <v>101</v>
      </c>
      <c r="P1898" s="6" t="s">
        <v>44</v>
      </c>
      <c r="Q1898" s="8" t="s">
        <v>45</v>
      </c>
      <c r="R1898" s="10" t="s">
        <v>3466</v>
      </c>
      <c r="S1898" s="11"/>
      <c r="T1898" s="6"/>
      <c r="U1898" s="24" t="str">
        <f>HYPERLINK("https://media.infra-m.ru/2081/2081965/cover/2081965.jpg", "Обложка")</f>
        <v>Обложка</v>
      </c>
      <c r="V1898" s="24" t="str">
        <f>HYPERLINK("https://znanium.ru/catalog/product/1080543", "Ознакомиться")</f>
        <v>Ознакомиться</v>
      </c>
      <c r="W1898" s="8" t="s">
        <v>10279</v>
      </c>
      <c r="X1898" s="6"/>
      <c r="Y1898" s="6"/>
      <c r="Z1898" s="6"/>
      <c r="AA1898" s="6" t="s">
        <v>76</v>
      </c>
      <c r="AB1898" s="8"/>
    </row>
    <row r="1899" spans="1:28" s="4" customFormat="1" ht="42" customHeight="1">
      <c r="A1899" s="5">
        <v>0</v>
      </c>
      <c r="B1899" s="6" t="s">
        <v>10944</v>
      </c>
      <c r="C1899" s="13">
        <v>828</v>
      </c>
      <c r="D1899" s="8" t="s">
        <v>10945</v>
      </c>
      <c r="E1899" s="8" t="s">
        <v>10946</v>
      </c>
      <c r="F1899" s="8" t="s">
        <v>10947</v>
      </c>
      <c r="G1899" s="6" t="s">
        <v>81</v>
      </c>
      <c r="H1899" s="6" t="s">
        <v>39</v>
      </c>
      <c r="I1899" s="8" t="s">
        <v>40</v>
      </c>
      <c r="J1899" s="9">
        <v>1</v>
      </c>
      <c r="K1899" s="9">
        <v>166</v>
      </c>
      <c r="L1899" s="9">
        <v>2022</v>
      </c>
      <c r="M1899" s="8" t="s">
        <v>10948</v>
      </c>
      <c r="N1899" s="8" t="s">
        <v>42</v>
      </c>
      <c r="O1899" s="8" t="s">
        <v>65</v>
      </c>
      <c r="P1899" s="6" t="s">
        <v>44</v>
      </c>
      <c r="Q1899" s="8" t="s">
        <v>45</v>
      </c>
      <c r="R1899" s="10" t="s">
        <v>10949</v>
      </c>
      <c r="S1899" s="11"/>
      <c r="T1899" s="6"/>
      <c r="U1899" s="24" t="str">
        <f>HYPERLINK("https://media.infra-m.ru/1740/1740732/cover/1740732.jpg", "Обложка")</f>
        <v>Обложка</v>
      </c>
      <c r="V1899" s="24" t="str">
        <f>HYPERLINK("https://znanium.ru/catalog/product/1016706", "Ознакомиться")</f>
        <v>Ознакомиться</v>
      </c>
      <c r="W1899" s="8" t="s">
        <v>1861</v>
      </c>
      <c r="X1899" s="6"/>
      <c r="Y1899" s="6"/>
      <c r="Z1899" s="6"/>
      <c r="AA1899" s="6" t="s">
        <v>339</v>
      </c>
      <c r="AB1899" s="8"/>
    </row>
    <row r="1900" spans="1:28" s="4" customFormat="1" ht="42" customHeight="1">
      <c r="A1900" s="5">
        <v>0</v>
      </c>
      <c r="B1900" s="6" t="s">
        <v>10950</v>
      </c>
      <c r="C1900" s="7">
        <v>1188</v>
      </c>
      <c r="D1900" s="8" t="s">
        <v>10951</v>
      </c>
      <c r="E1900" s="8" t="s">
        <v>10952</v>
      </c>
      <c r="F1900" s="8" t="s">
        <v>10953</v>
      </c>
      <c r="G1900" s="6" t="s">
        <v>38</v>
      </c>
      <c r="H1900" s="6" t="s">
        <v>99</v>
      </c>
      <c r="I1900" s="8"/>
      <c r="J1900" s="9">
        <v>1</v>
      </c>
      <c r="K1900" s="9">
        <v>192</v>
      </c>
      <c r="L1900" s="9">
        <v>2025</v>
      </c>
      <c r="M1900" s="8" t="s">
        <v>10954</v>
      </c>
      <c r="N1900" s="8" t="s">
        <v>42</v>
      </c>
      <c r="O1900" s="8" t="s">
        <v>101</v>
      </c>
      <c r="P1900" s="6" t="s">
        <v>44</v>
      </c>
      <c r="Q1900" s="8" t="s">
        <v>45</v>
      </c>
      <c r="R1900" s="10" t="s">
        <v>2946</v>
      </c>
      <c r="S1900" s="11"/>
      <c r="T1900" s="6"/>
      <c r="U1900" s="24" t="str">
        <f>HYPERLINK("https://media.infra-m.ru/2169/2169158/cover/2169158.jpg", "Обложка")</f>
        <v>Обложка</v>
      </c>
      <c r="V1900" s="24" t="str">
        <f>HYPERLINK("https://znanium.ru/catalog/product/2169158", "Ознакомиться")</f>
        <v>Ознакомиться</v>
      </c>
      <c r="W1900" s="8" t="s">
        <v>5334</v>
      </c>
      <c r="X1900" s="6"/>
      <c r="Y1900" s="6"/>
      <c r="Z1900" s="6"/>
      <c r="AA1900" s="6" t="s">
        <v>339</v>
      </c>
      <c r="AB1900" s="8"/>
    </row>
    <row r="1901" spans="1:28" s="4" customFormat="1" ht="51.95" customHeight="1">
      <c r="A1901" s="5">
        <v>0</v>
      </c>
      <c r="B1901" s="6" t="s">
        <v>10955</v>
      </c>
      <c r="C1901" s="7">
        <v>2596.8000000000002</v>
      </c>
      <c r="D1901" s="8" t="s">
        <v>10956</v>
      </c>
      <c r="E1901" s="8" t="s">
        <v>10957</v>
      </c>
      <c r="F1901" s="8" t="s">
        <v>8615</v>
      </c>
      <c r="G1901" s="6" t="s">
        <v>132</v>
      </c>
      <c r="H1901" s="6" t="s">
        <v>326</v>
      </c>
      <c r="I1901" s="8" t="s">
        <v>40</v>
      </c>
      <c r="J1901" s="9">
        <v>1</v>
      </c>
      <c r="K1901" s="9">
        <v>410</v>
      </c>
      <c r="L1901" s="9">
        <v>2026</v>
      </c>
      <c r="M1901" s="8" t="s">
        <v>10958</v>
      </c>
      <c r="N1901" s="8" t="s">
        <v>42</v>
      </c>
      <c r="O1901" s="8" t="s">
        <v>65</v>
      </c>
      <c r="P1901" s="6" t="s">
        <v>44</v>
      </c>
      <c r="Q1901" s="8" t="s">
        <v>45</v>
      </c>
      <c r="R1901" s="10" t="s">
        <v>3067</v>
      </c>
      <c r="S1901" s="11"/>
      <c r="T1901" s="6"/>
      <c r="U1901" s="24" t="str">
        <f>HYPERLINK("https://media.infra-m.ru/2216/2216873/cover/2216873.jpg", "Обложка")</f>
        <v>Обложка</v>
      </c>
      <c r="V1901" s="24" t="str">
        <f>HYPERLINK("https://znanium.ru/catalog/product/2198141", "Ознакомиться")</f>
        <v>Ознакомиться</v>
      </c>
      <c r="W1901" s="8" t="s">
        <v>1861</v>
      </c>
      <c r="X1901" s="6"/>
      <c r="Y1901" s="6"/>
      <c r="Z1901" s="6"/>
      <c r="AA1901" s="6" t="s">
        <v>369</v>
      </c>
      <c r="AB1901" s="8"/>
    </row>
    <row r="1902" spans="1:28" s="4" customFormat="1" ht="42" customHeight="1">
      <c r="A1902" s="5">
        <v>0</v>
      </c>
      <c r="B1902" s="6" t="s">
        <v>10959</v>
      </c>
      <c r="C1902" s="7">
        <v>1212</v>
      </c>
      <c r="D1902" s="8" t="s">
        <v>10960</v>
      </c>
      <c r="E1902" s="8" t="s">
        <v>10961</v>
      </c>
      <c r="F1902" s="8" t="s">
        <v>10962</v>
      </c>
      <c r="G1902" s="6" t="s">
        <v>81</v>
      </c>
      <c r="H1902" s="6" t="s">
        <v>39</v>
      </c>
      <c r="I1902" s="8" t="s">
        <v>336</v>
      </c>
      <c r="J1902" s="9">
        <v>1</v>
      </c>
      <c r="K1902" s="9">
        <v>295</v>
      </c>
      <c r="L1902" s="9">
        <v>2019</v>
      </c>
      <c r="M1902" s="8" t="s">
        <v>10963</v>
      </c>
      <c r="N1902" s="8" t="s">
        <v>42</v>
      </c>
      <c r="O1902" s="8" t="s">
        <v>101</v>
      </c>
      <c r="P1902" s="6" t="s">
        <v>44</v>
      </c>
      <c r="Q1902" s="8" t="s">
        <v>45</v>
      </c>
      <c r="R1902" s="10" t="s">
        <v>564</v>
      </c>
      <c r="S1902" s="11"/>
      <c r="T1902" s="6"/>
      <c r="U1902" s="24" t="str">
        <f>HYPERLINK("https://media.infra-m.ru/1031/1031757/cover/1031757.jpg", "Обложка")</f>
        <v>Обложка</v>
      </c>
      <c r="V1902" s="24" t="str">
        <f>HYPERLINK("https://znanium.ru/catalog/product/1031757", "Ознакомиться")</f>
        <v>Ознакомиться</v>
      </c>
      <c r="W1902" s="8" t="s">
        <v>103</v>
      </c>
      <c r="X1902" s="6"/>
      <c r="Y1902" s="6"/>
      <c r="Z1902" s="6"/>
      <c r="AA1902" s="6" t="s">
        <v>290</v>
      </c>
      <c r="AB1902" s="8"/>
    </row>
    <row r="1903" spans="1:28" s="4" customFormat="1" ht="44.1" customHeight="1">
      <c r="A1903" s="5">
        <v>0</v>
      </c>
      <c r="B1903" s="6" t="s">
        <v>10964</v>
      </c>
      <c r="C1903" s="7">
        <v>1380</v>
      </c>
      <c r="D1903" s="8" t="s">
        <v>10965</v>
      </c>
      <c r="E1903" s="8" t="s">
        <v>10966</v>
      </c>
      <c r="F1903" s="8" t="s">
        <v>10967</v>
      </c>
      <c r="G1903" s="6" t="s">
        <v>38</v>
      </c>
      <c r="H1903" s="6" t="s">
        <v>571</v>
      </c>
      <c r="I1903" s="8"/>
      <c r="J1903" s="9">
        <v>1</v>
      </c>
      <c r="K1903" s="9">
        <v>368</v>
      </c>
      <c r="L1903" s="9">
        <v>2018</v>
      </c>
      <c r="M1903" s="8" t="s">
        <v>10968</v>
      </c>
      <c r="N1903" s="8" t="s">
        <v>42</v>
      </c>
      <c r="O1903" s="8" t="s">
        <v>189</v>
      </c>
      <c r="P1903" s="6" t="s">
        <v>44</v>
      </c>
      <c r="Q1903" s="8" t="s">
        <v>1152</v>
      </c>
      <c r="R1903" s="10" t="s">
        <v>6708</v>
      </c>
      <c r="S1903" s="11"/>
      <c r="T1903" s="6"/>
      <c r="U1903" s="24" t="str">
        <f>HYPERLINK("https://media.infra-m.ru/0925/0925833/cover/925833.jpg", "Обложка")</f>
        <v>Обложка</v>
      </c>
      <c r="V1903" s="24" t="str">
        <f>HYPERLINK("https://znanium.ru/catalog/product/925833", "Ознакомиться")</f>
        <v>Ознакомиться</v>
      </c>
      <c r="W1903" s="8" t="s">
        <v>207</v>
      </c>
      <c r="X1903" s="6"/>
      <c r="Y1903" s="6"/>
      <c r="Z1903" s="6"/>
      <c r="AA1903" s="6" t="s">
        <v>377</v>
      </c>
      <c r="AB1903" s="8"/>
    </row>
    <row r="1904" spans="1:28" s="4" customFormat="1" ht="51.95" customHeight="1">
      <c r="A1904" s="5">
        <v>0</v>
      </c>
      <c r="B1904" s="6" t="s">
        <v>10969</v>
      </c>
      <c r="C1904" s="7">
        <v>1176</v>
      </c>
      <c r="D1904" s="8" t="s">
        <v>10970</v>
      </c>
      <c r="E1904" s="8" t="s">
        <v>10971</v>
      </c>
      <c r="F1904" s="8" t="s">
        <v>10972</v>
      </c>
      <c r="G1904" s="6" t="s">
        <v>132</v>
      </c>
      <c r="H1904" s="6" t="s">
        <v>39</v>
      </c>
      <c r="I1904" s="8" t="s">
        <v>164</v>
      </c>
      <c r="J1904" s="9">
        <v>1</v>
      </c>
      <c r="K1904" s="9">
        <v>203</v>
      </c>
      <c r="L1904" s="9">
        <v>2023</v>
      </c>
      <c r="M1904" s="8" t="s">
        <v>10973</v>
      </c>
      <c r="N1904" s="8" t="s">
        <v>42</v>
      </c>
      <c r="O1904" s="8" t="s">
        <v>189</v>
      </c>
      <c r="P1904" s="6" t="s">
        <v>44</v>
      </c>
      <c r="Q1904" s="8" t="s">
        <v>45</v>
      </c>
      <c r="R1904" s="10" t="s">
        <v>10974</v>
      </c>
      <c r="S1904" s="11"/>
      <c r="T1904" s="6"/>
      <c r="U1904" s="24" t="str">
        <f>HYPERLINK("https://media.infra-m.ru/1984/1984071/cover/1984071.jpg", "Обложка")</f>
        <v>Обложка</v>
      </c>
      <c r="V1904" s="24" t="str">
        <f>HYPERLINK("https://znanium.ru/catalog/product/1984071", "Ознакомиться")</f>
        <v>Ознакомиться</v>
      </c>
      <c r="W1904" s="8" t="s">
        <v>167</v>
      </c>
      <c r="X1904" s="6"/>
      <c r="Y1904" s="6"/>
      <c r="Z1904" s="6"/>
      <c r="AA1904" s="6" t="s">
        <v>119</v>
      </c>
      <c r="AB1904" s="8"/>
    </row>
    <row r="1905" spans="1:28" s="4" customFormat="1" ht="44.1" customHeight="1">
      <c r="A1905" s="5">
        <v>0</v>
      </c>
      <c r="B1905" s="6" t="s">
        <v>10975</v>
      </c>
      <c r="C1905" s="7">
        <v>2016</v>
      </c>
      <c r="D1905" s="8" t="s">
        <v>10976</v>
      </c>
      <c r="E1905" s="8" t="s">
        <v>10977</v>
      </c>
      <c r="F1905" s="8" t="s">
        <v>10978</v>
      </c>
      <c r="G1905" s="6" t="s">
        <v>81</v>
      </c>
      <c r="H1905" s="6" t="s">
        <v>39</v>
      </c>
      <c r="I1905" s="8" t="s">
        <v>3065</v>
      </c>
      <c r="J1905" s="9">
        <v>1</v>
      </c>
      <c r="K1905" s="9">
        <v>431</v>
      </c>
      <c r="L1905" s="9">
        <v>2022</v>
      </c>
      <c r="M1905" s="8" t="s">
        <v>10979</v>
      </c>
      <c r="N1905" s="8" t="s">
        <v>42</v>
      </c>
      <c r="O1905" s="8" t="s">
        <v>65</v>
      </c>
      <c r="P1905" s="6" t="s">
        <v>44</v>
      </c>
      <c r="Q1905" s="8" t="s">
        <v>1152</v>
      </c>
      <c r="R1905" s="10" t="s">
        <v>7539</v>
      </c>
      <c r="S1905" s="11"/>
      <c r="T1905" s="6"/>
      <c r="U1905" s="24" t="str">
        <f>HYPERLINK("https://media.infra-m.ru/1860/1860850/cover/1860850.jpg", "Обложка")</f>
        <v>Обложка</v>
      </c>
      <c r="V1905" s="24" t="str">
        <f>HYPERLINK("https://znanium.ru/catalog/product/1860850", "Ознакомиться")</f>
        <v>Ознакомиться</v>
      </c>
      <c r="W1905" s="8" t="s">
        <v>191</v>
      </c>
      <c r="X1905" s="6"/>
      <c r="Y1905" s="6"/>
      <c r="Z1905" s="6"/>
      <c r="AA1905" s="6" t="s">
        <v>339</v>
      </c>
      <c r="AB1905" s="8"/>
    </row>
    <row r="1906" spans="1:28" s="4" customFormat="1" ht="42" customHeight="1">
      <c r="A1906" s="5">
        <v>0</v>
      </c>
      <c r="B1906" s="6" t="s">
        <v>10980</v>
      </c>
      <c r="C1906" s="7">
        <v>1872</v>
      </c>
      <c r="D1906" s="8" t="s">
        <v>10981</v>
      </c>
      <c r="E1906" s="8" t="s">
        <v>10982</v>
      </c>
      <c r="F1906" s="8" t="s">
        <v>10983</v>
      </c>
      <c r="G1906" s="6" t="s">
        <v>38</v>
      </c>
      <c r="H1906" s="6" t="s">
        <v>39</v>
      </c>
      <c r="I1906" s="8" t="s">
        <v>40</v>
      </c>
      <c r="J1906" s="9">
        <v>1</v>
      </c>
      <c r="K1906" s="9">
        <v>331</v>
      </c>
      <c r="L1906" s="9">
        <v>2024</v>
      </c>
      <c r="M1906" s="8" t="s">
        <v>10984</v>
      </c>
      <c r="N1906" s="8" t="s">
        <v>42</v>
      </c>
      <c r="O1906" s="8" t="s">
        <v>43</v>
      </c>
      <c r="P1906" s="6" t="s">
        <v>44</v>
      </c>
      <c r="Q1906" s="8" t="s">
        <v>45</v>
      </c>
      <c r="R1906" s="10" t="s">
        <v>304</v>
      </c>
      <c r="S1906" s="11"/>
      <c r="T1906" s="6"/>
      <c r="U1906" s="24" t="str">
        <f>HYPERLINK("https://media.infra-m.ru/2143/2143233/cover/2143233.jpg", "Обложка")</f>
        <v>Обложка</v>
      </c>
      <c r="V1906" s="24" t="str">
        <f>HYPERLINK("https://znanium.ru/catalog/product/2143233", "Ознакомиться")</f>
        <v>Ознакомиться</v>
      </c>
      <c r="W1906" s="8" t="s">
        <v>1837</v>
      </c>
      <c r="X1906" s="6"/>
      <c r="Y1906" s="6"/>
      <c r="Z1906" s="6"/>
      <c r="AA1906" s="6" t="s">
        <v>199</v>
      </c>
      <c r="AB1906" s="8"/>
    </row>
    <row r="1907" spans="1:28" s="4" customFormat="1" ht="42" customHeight="1">
      <c r="A1907" s="5">
        <v>0</v>
      </c>
      <c r="B1907" s="6" t="s">
        <v>10985</v>
      </c>
      <c r="C1907" s="7">
        <v>2700</v>
      </c>
      <c r="D1907" s="8" t="s">
        <v>10986</v>
      </c>
      <c r="E1907" s="8" t="s">
        <v>10987</v>
      </c>
      <c r="F1907" s="8" t="s">
        <v>10988</v>
      </c>
      <c r="G1907" s="6" t="s">
        <v>4307</v>
      </c>
      <c r="H1907" s="6" t="s">
        <v>3397</v>
      </c>
      <c r="I1907" s="8"/>
      <c r="J1907" s="9">
        <v>1</v>
      </c>
      <c r="K1907" s="9">
        <v>528</v>
      </c>
      <c r="L1907" s="9">
        <v>2019</v>
      </c>
      <c r="M1907" s="8" t="s">
        <v>10989</v>
      </c>
      <c r="N1907" s="8" t="s">
        <v>42</v>
      </c>
      <c r="O1907" s="8" t="s">
        <v>43</v>
      </c>
      <c r="P1907" s="6" t="s">
        <v>3397</v>
      </c>
      <c r="Q1907" s="8"/>
      <c r="R1907" s="10"/>
      <c r="S1907" s="11"/>
      <c r="T1907" s="6"/>
      <c r="U1907" s="24" t="str">
        <f>HYPERLINK("https://media.infra-m.ru/1036/1036806/cover/1036806.jpg", "Обложка")</f>
        <v>Обложка</v>
      </c>
      <c r="V1907" s="12"/>
      <c r="W1907" s="8" t="s">
        <v>305</v>
      </c>
      <c r="X1907" s="6"/>
      <c r="Y1907" s="6"/>
      <c r="Z1907" s="6"/>
      <c r="AA1907" s="6" t="s">
        <v>76</v>
      </c>
      <c r="AB1907" s="8"/>
    </row>
    <row r="1908" spans="1:28" s="4" customFormat="1" ht="51.95" customHeight="1">
      <c r="A1908" s="5">
        <v>0</v>
      </c>
      <c r="B1908" s="6" t="s">
        <v>10990</v>
      </c>
      <c r="C1908" s="7">
        <v>2692.8</v>
      </c>
      <c r="D1908" s="8" t="s">
        <v>10991</v>
      </c>
      <c r="E1908" s="8" t="s">
        <v>10992</v>
      </c>
      <c r="F1908" s="8" t="s">
        <v>10993</v>
      </c>
      <c r="G1908" s="6" t="s">
        <v>132</v>
      </c>
      <c r="H1908" s="6" t="s">
        <v>99</v>
      </c>
      <c r="I1908" s="8"/>
      <c r="J1908" s="9">
        <v>1</v>
      </c>
      <c r="K1908" s="9">
        <v>448</v>
      </c>
      <c r="L1908" s="9">
        <v>2025</v>
      </c>
      <c r="M1908" s="8" t="s">
        <v>10994</v>
      </c>
      <c r="N1908" s="8" t="s">
        <v>42</v>
      </c>
      <c r="O1908" s="8" t="s">
        <v>189</v>
      </c>
      <c r="P1908" s="6" t="s">
        <v>44</v>
      </c>
      <c r="Q1908" s="8" t="s">
        <v>45</v>
      </c>
      <c r="R1908" s="10" t="s">
        <v>10995</v>
      </c>
      <c r="S1908" s="11"/>
      <c r="T1908" s="6"/>
      <c r="U1908" s="24" t="str">
        <f>HYPERLINK("https://media.infra-m.ru/2188/2188709/cover/2188709.jpg", "Обложка")</f>
        <v>Обложка</v>
      </c>
      <c r="V1908" s="24" t="str">
        <f>HYPERLINK("https://znanium.ru/catalog/product/2044245", "Ознакомиться")</f>
        <v>Ознакомиться</v>
      </c>
      <c r="W1908" s="8" t="s">
        <v>305</v>
      </c>
      <c r="X1908" s="6"/>
      <c r="Y1908" s="6"/>
      <c r="Z1908" s="6"/>
      <c r="AA1908" s="6" t="s">
        <v>241</v>
      </c>
      <c r="AB1908" s="8"/>
    </row>
    <row r="1909" spans="1:28" s="4" customFormat="1" ht="51.95" customHeight="1">
      <c r="A1909" s="5">
        <v>0</v>
      </c>
      <c r="B1909" s="6" t="s">
        <v>10996</v>
      </c>
      <c r="C1909" s="7">
        <v>3588</v>
      </c>
      <c r="D1909" s="8" t="s">
        <v>10997</v>
      </c>
      <c r="E1909" s="8" t="s">
        <v>10998</v>
      </c>
      <c r="F1909" s="8" t="s">
        <v>10999</v>
      </c>
      <c r="G1909" s="6" t="s">
        <v>132</v>
      </c>
      <c r="H1909" s="6" t="s">
        <v>99</v>
      </c>
      <c r="I1909" s="8"/>
      <c r="J1909" s="9">
        <v>1</v>
      </c>
      <c r="K1909" s="9">
        <v>576</v>
      </c>
      <c r="L1909" s="9">
        <v>2026</v>
      </c>
      <c r="M1909" s="8" t="s">
        <v>11000</v>
      </c>
      <c r="N1909" s="8" t="s">
        <v>42</v>
      </c>
      <c r="O1909" s="8" t="s">
        <v>101</v>
      </c>
      <c r="P1909" s="6" t="s">
        <v>44</v>
      </c>
      <c r="Q1909" s="8" t="s">
        <v>1058</v>
      </c>
      <c r="R1909" s="10" t="s">
        <v>11001</v>
      </c>
      <c r="S1909" s="11"/>
      <c r="T1909" s="6"/>
      <c r="U1909" s="24" t="str">
        <f>HYPERLINK("https://media.infra-m.ru/2221/2221655/cover/2221655.jpg", "Обложка")</f>
        <v>Обложка</v>
      </c>
      <c r="V1909" s="24" t="str">
        <f>HYPERLINK("https://znanium.ru/catalog/product/2221655", "Ознакомиться")</f>
        <v>Ознакомиться</v>
      </c>
      <c r="W1909" s="8" t="s">
        <v>846</v>
      </c>
      <c r="X1909" s="6"/>
      <c r="Y1909" s="6"/>
      <c r="Z1909" s="6"/>
      <c r="AA1909" s="6" t="s">
        <v>58</v>
      </c>
      <c r="AB1909" s="8"/>
    </row>
    <row r="1910" spans="1:28" s="4" customFormat="1" ht="51.95" customHeight="1">
      <c r="A1910" s="5">
        <v>0</v>
      </c>
      <c r="B1910" s="6" t="s">
        <v>11002</v>
      </c>
      <c r="C1910" s="7">
        <v>2040</v>
      </c>
      <c r="D1910" s="8" t="s">
        <v>11003</v>
      </c>
      <c r="E1910" s="8" t="s">
        <v>11004</v>
      </c>
      <c r="F1910" s="8" t="s">
        <v>949</v>
      </c>
      <c r="G1910" s="6" t="s">
        <v>38</v>
      </c>
      <c r="H1910" s="6" t="s">
        <v>39</v>
      </c>
      <c r="I1910" s="8" t="s">
        <v>40</v>
      </c>
      <c r="J1910" s="9">
        <v>1</v>
      </c>
      <c r="K1910" s="9">
        <v>327</v>
      </c>
      <c r="L1910" s="9">
        <v>2025</v>
      </c>
      <c r="M1910" s="8" t="s">
        <v>11005</v>
      </c>
      <c r="N1910" s="8" t="s">
        <v>42</v>
      </c>
      <c r="O1910" s="8" t="s">
        <v>65</v>
      </c>
      <c r="P1910" s="6" t="s">
        <v>44</v>
      </c>
      <c r="Q1910" s="8" t="s">
        <v>45</v>
      </c>
      <c r="R1910" s="10" t="s">
        <v>11006</v>
      </c>
      <c r="S1910" s="11"/>
      <c r="T1910" s="6"/>
      <c r="U1910" s="24" t="str">
        <f>HYPERLINK("https://media.infra-m.ru/2193/2193027/cover/2193027.jpg", "Обложка")</f>
        <v>Обложка</v>
      </c>
      <c r="V1910" s="24" t="str">
        <f>HYPERLINK("https://znanium.ru/catalog/product/2193027", "Ознакомиться")</f>
        <v>Ознакомиться</v>
      </c>
      <c r="W1910" s="8" t="s">
        <v>868</v>
      </c>
      <c r="X1910" s="6"/>
      <c r="Y1910" s="6"/>
      <c r="Z1910" s="6"/>
      <c r="AA1910" s="6" t="s">
        <v>199</v>
      </c>
      <c r="AB1910" s="8"/>
    </row>
    <row r="1911" spans="1:28" s="4" customFormat="1" ht="44.1" customHeight="1">
      <c r="A1911" s="5">
        <v>0</v>
      </c>
      <c r="B1911" s="6" t="s">
        <v>11007</v>
      </c>
      <c r="C1911" s="7">
        <v>2244</v>
      </c>
      <c r="D1911" s="8" t="s">
        <v>11008</v>
      </c>
      <c r="E1911" s="8" t="s">
        <v>11009</v>
      </c>
      <c r="F1911" s="8" t="s">
        <v>11010</v>
      </c>
      <c r="G1911" s="6" t="s">
        <v>81</v>
      </c>
      <c r="H1911" s="6" t="s">
        <v>39</v>
      </c>
      <c r="I1911" s="8" t="s">
        <v>344</v>
      </c>
      <c r="J1911" s="9">
        <v>1</v>
      </c>
      <c r="K1911" s="9">
        <v>358</v>
      </c>
      <c r="L1911" s="9">
        <v>2025</v>
      </c>
      <c r="M1911" s="8" t="s">
        <v>11011</v>
      </c>
      <c r="N1911" s="8" t="s">
        <v>54</v>
      </c>
      <c r="O1911" s="8" t="s">
        <v>55</v>
      </c>
      <c r="P1911" s="6" t="s">
        <v>44</v>
      </c>
      <c r="Q1911" s="8" t="s">
        <v>45</v>
      </c>
      <c r="R1911" s="10" t="s">
        <v>6349</v>
      </c>
      <c r="S1911" s="11"/>
      <c r="T1911" s="6"/>
      <c r="U1911" s="24" t="str">
        <f>HYPERLINK("https://media.infra-m.ru/2199/2199861/cover/2199861.jpg", "Обложка")</f>
        <v>Обложка</v>
      </c>
      <c r="V1911" s="12"/>
      <c r="W1911" s="8" t="s">
        <v>191</v>
      </c>
      <c r="X1911" s="6"/>
      <c r="Y1911" s="6"/>
      <c r="Z1911" s="6"/>
      <c r="AA1911" s="6" t="s">
        <v>68</v>
      </c>
      <c r="AB1911" s="8"/>
    </row>
    <row r="1912" spans="1:28" s="4" customFormat="1" ht="42" customHeight="1">
      <c r="A1912" s="5">
        <v>0</v>
      </c>
      <c r="B1912" s="6" t="s">
        <v>11012</v>
      </c>
      <c r="C1912" s="7">
        <v>2628</v>
      </c>
      <c r="D1912" s="8" t="s">
        <v>11013</v>
      </c>
      <c r="E1912" s="8" t="s">
        <v>11014</v>
      </c>
      <c r="F1912" s="8" t="s">
        <v>7494</v>
      </c>
      <c r="G1912" s="6" t="s">
        <v>132</v>
      </c>
      <c r="H1912" s="6" t="s">
        <v>39</v>
      </c>
      <c r="I1912" s="8" t="s">
        <v>40</v>
      </c>
      <c r="J1912" s="9">
        <v>1</v>
      </c>
      <c r="K1912" s="9">
        <v>398</v>
      </c>
      <c r="L1912" s="9">
        <v>2025</v>
      </c>
      <c r="M1912" s="8" t="s">
        <v>11015</v>
      </c>
      <c r="N1912" s="8" t="s">
        <v>54</v>
      </c>
      <c r="O1912" s="8" t="s">
        <v>55</v>
      </c>
      <c r="P1912" s="6" t="s">
        <v>44</v>
      </c>
      <c r="Q1912" s="8" t="s">
        <v>45</v>
      </c>
      <c r="R1912" s="10" t="s">
        <v>11016</v>
      </c>
      <c r="S1912" s="11"/>
      <c r="T1912" s="6"/>
      <c r="U1912" s="24" t="str">
        <f>HYPERLINK("https://media.infra-m.ru/2188/2188424/cover/2188424.jpg", "Обложка")</f>
        <v>Обложка</v>
      </c>
      <c r="V1912" s="24" t="str">
        <f>HYPERLINK("https://znanium.ru/catalog/product/2188424", "Ознакомиться")</f>
        <v>Ознакомиться</v>
      </c>
      <c r="W1912" s="8" t="s">
        <v>2047</v>
      </c>
      <c r="X1912" s="6" t="s">
        <v>838</v>
      </c>
      <c r="Y1912" s="6"/>
      <c r="Z1912" s="6"/>
      <c r="AA1912" s="6" t="s">
        <v>159</v>
      </c>
      <c r="AB1912" s="8" t="s">
        <v>1101</v>
      </c>
    </row>
    <row r="1913" spans="1:28" s="4" customFormat="1" ht="51.95" customHeight="1">
      <c r="A1913" s="5">
        <v>0</v>
      </c>
      <c r="B1913" s="6" t="s">
        <v>11017</v>
      </c>
      <c r="C1913" s="13">
        <v>960</v>
      </c>
      <c r="D1913" s="8" t="s">
        <v>11018</v>
      </c>
      <c r="E1913" s="8" t="s">
        <v>11019</v>
      </c>
      <c r="F1913" s="8" t="s">
        <v>11020</v>
      </c>
      <c r="G1913" s="6" t="s">
        <v>38</v>
      </c>
      <c r="H1913" s="6" t="s">
        <v>39</v>
      </c>
      <c r="I1913" s="8" t="s">
        <v>344</v>
      </c>
      <c r="J1913" s="9">
        <v>1</v>
      </c>
      <c r="K1913" s="9">
        <v>136</v>
      </c>
      <c r="L1913" s="9">
        <v>2025</v>
      </c>
      <c r="M1913" s="8" t="s">
        <v>11021</v>
      </c>
      <c r="N1913" s="8" t="s">
        <v>54</v>
      </c>
      <c r="O1913" s="8" t="s">
        <v>6646</v>
      </c>
      <c r="P1913" s="6" t="s">
        <v>44</v>
      </c>
      <c r="Q1913" s="8" t="s">
        <v>45</v>
      </c>
      <c r="R1913" s="10" t="s">
        <v>11022</v>
      </c>
      <c r="S1913" s="11"/>
      <c r="T1913" s="6"/>
      <c r="U1913" s="24" t="str">
        <f>HYPERLINK("https://media.infra-m.ru/2170/2170849/cover/2170849.jpg", "Обложка")</f>
        <v>Обложка</v>
      </c>
      <c r="V1913" s="12"/>
      <c r="W1913" s="8" t="s">
        <v>346</v>
      </c>
      <c r="X1913" s="6"/>
      <c r="Y1913" s="6"/>
      <c r="Z1913" s="6"/>
      <c r="AA1913" s="6" t="s">
        <v>68</v>
      </c>
      <c r="AB1913" s="8"/>
    </row>
    <row r="1914" spans="1:28" s="4" customFormat="1" ht="51.95" customHeight="1">
      <c r="A1914" s="5">
        <v>0</v>
      </c>
      <c r="B1914" s="6" t="s">
        <v>11023</v>
      </c>
      <c r="C1914" s="7">
        <v>1344</v>
      </c>
      <c r="D1914" s="8" t="s">
        <v>11024</v>
      </c>
      <c r="E1914" s="8" t="s">
        <v>11025</v>
      </c>
      <c r="F1914" s="8" t="s">
        <v>11026</v>
      </c>
      <c r="G1914" s="6" t="s">
        <v>38</v>
      </c>
      <c r="H1914" s="6" t="s">
        <v>39</v>
      </c>
      <c r="I1914" s="8" t="s">
        <v>40</v>
      </c>
      <c r="J1914" s="9">
        <v>1</v>
      </c>
      <c r="K1914" s="9">
        <v>223</v>
      </c>
      <c r="L1914" s="9">
        <v>2024</v>
      </c>
      <c r="M1914" s="8" t="s">
        <v>11027</v>
      </c>
      <c r="N1914" s="8" t="s">
        <v>54</v>
      </c>
      <c r="O1914" s="8" t="s">
        <v>2811</v>
      </c>
      <c r="P1914" s="6" t="s">
        <v>44</v>
      </c>
      <c r="Q1914" s="8" t="s">
        <v>45</v>
      </c>
      <c r="R1914" s="10" t="s">
        <v>11028</v>
      </c>
      <c r="S1914" s="11"/>
      <c r="T1914" s="6"/>
      <c r="U1914" s="24" t="str">
        <f>HYPERLINK("https://media.infra-m.ru/2136/2136026/cover/2136026.jpg", "Обложка")</f>
        <v>Обложка</v>
      </c>
      <c r="V1914" s="24" t="str">
        <f>HYPERLINK("https://znanium.ru/catalog/product/2136026", "Ознакомиться")</f>
        <v>Ознакомиться</v>
      </c>
      <c r="W1914" s="8" t="s">
        <v>1049</v>
      </c>
      <c r="X1914" s="6"/>
      <c r="Y1914" s="6"/>
      <c r="Z1914" s="6"/>
      <c r="AA1914" s="6" t="s">
        <v>48</v>
      </c>
      <c r="AB1914" s="8"/>
    </row>
    <row r="1915" spans="1:28" s="4" customFormat="1" ht="44.1" customHeight="1">
      <c r="A1915" s="5">
        <v>0</v>
      </c>
      <c r="B1915" s="6" t="s">
        <v>11029</v>
      </c>
      <c r="C1915" s="7">
        <v>1300.8</v>
      </c>
      <c r="D1915" s="8" t="s">
        <v>11030</v>
      </c>
      <c r="E1915" s="8" t="s">
        <v>11031</v>
      </c>
      <c r="F1915" s="8" t="s">
        <v>8317</v>
      </c>
      <c r="G1915" s="6" t="s">
        <v>38</v>
      </c>
      <c r="H1915" s="6" t="s">
        <v>182</v>
      </c>
      <c r="I1915" s="8" t="s">
        <v>40</v>
      </c>
      <c r="J1915" s="9">
        <v>1</v>
      </c>
      <c r="K1915" s="9">
        <v>202</v>
      </c>
      <c r="L1915" s="9">
        <v>2026</v>
      </c>
      <c r="M1915" s="8" t="s">
        <v>11032</v>
      </c>
      <c r="N1915" s="8" t="s">
        <v>54</v>
      </c>
      <c r="O1915" s="8" t="s">
        <v>55</v>
      </c>
      <c r="P1915" s="6" t="s">
        <v>44</v>
      </c>
      <c r="Q1915" s="8" t="s">
        <v>45</v>
      </c>
      <c r="R1915" s="10" t="s">
        <v>11033</v>
      </c>
      <c r="S1915" s="11"/>
      <c r="T1915" s="6"/>
      <c r="U1915" s="24" t="str">
        <f>HYPERLINK("https://media.infra-m.ru/2143/2143173/cover/2143173.jpg", "Обложка")</f>
        <v>Обложка</v>
      </c>
      <c r="V1915" s="24" t="str">
        <f>HYPERLINK("https://znanium.ru/catalog/product/1902650", "Ознакомиться")</f>
        <v>Ознакомиться</v>
      </c>
      <c r="W1915" s="8" t="s">
        <v>1594</v>
      </c>
      <c r="X1915" s="6"/>
      <c r="Y1915" s="6"/>
      <c r="Z1915" s="6"/>
      <c r="AA1915" s="6" t="s">
        <v>290</v>
      </c>
      <c r="AB1915" s="8"/>
    </row>
    <row r="1916" spans="1:28" s="4" customFormat="1" ht="51.95" customHeight="1">
      <c r="A1916" s="5">
        <v>0</v>
      </c>
      <c r="B1916" s="6" t="s">
        <v>11034</v>
      </c>
      <c r="C1916" s="7">
        <v>1199.9000000000001</v>
      </c>
      <c r="D1916" s="8" t="s">
        <v>11035</v>
      </c>
      <c r="E1916" s="8" t="s">
        <v>11036</v>
      </c>
      <c r="F1916" s="8" t="s">
        <v>11037</v>
      </c>
      <c r="G1916" s="6" t="s">
        <v>132</v>
      </c>
      <c r="H1916" s="6" t="s">
        <v>39</v>
      </c>
      <c r="I1916" s="8" t="s">
        <v>40</v>
      </c>
      <c r="J1916" s="9">
        <v>1</v>
      </c>
      <c r="K1916" s="9">
        <v>420</v>
      </c>
      <c r="L1916" s="9">
        <v>2017</v>
      </c>
      <c r="M1916" s="8" t="s">
        <v>11038</v>
      </c>
      <c r="N1916" s="8" t="s">
        <v>42</v>
      </c>
      <c r="O1916" s="8" t="s">
        <v>43</v>
      </c>
      <c r="P1916" s="6" t="s">
        <v>44</v>
      </c>
      <c r="Q1916" s="8" t="s">
        <v>45</v>
      </c>
      <c r="R1916" s="10" t="s">
        <v>11039</v>
      </c>
      <c r="S1916" s="11"/>
      <c r="T1916" s="6"/>
      <c r="U1916" s="24" t="str">
        <f>HYPERLINK("https://media.infra-m.ru/0814/0814395/cover/814395.jpg", "Обложка")</f>
        <v>Обложка</v>
      </c>
      <c r="V1916" s="24" t="str">
        <f>HYPERLINK("https://znanium.ru/catalog/product/814395", "Ознакомиться")</f>
        <v>Ознакомиться</v>
      </c>
      <c r="W1916" s="8" t="s">
        <v>1861</v>
      </c>
      <c r="X1916" s="6"/>
      <c r="Y1916" s="6"/>
      <c r="Z1916" s="6"/>
      <c r="AA1916" s="6" t="s">
        <v>339</v>
      </c>
      <c r="AB1916" s="8"/>
    </row>
    <row r="1917" spans="1:28" s="4" customFormat="1" ht="42" customHeight="1">
      <c r="A1917" s="5">
        <v>0</v>
      </c>
      <c r="B1917" s="6" t="s">
        <v>11040</v>
      </c>
      <c r="C1917" s="7">
        <v>1416</v>
      </c>
      <c r="D1917" s="8" t="s">
        <v>11041</v>
      </c>
      <c r="E1917" s="8" t="s">
        <v>11042</v>
      </c>
      <c r="F1917" s="8" t="s">
        <v>11043</v>
      </c>
      <c r="G1917" s="6" t="s">
        <v>132</v>
      </c>
      <c r="H1917" s="6" t="s">
        <v>39</v>
      </c>
      <c r="I1917" s="8" t="s">
        <v>40</v>
      </c>
      <c r="J1917" s="9">
        <v>1</v>
      </c>
      <c r="K1917" s="9">
        <v>203</v>
      </c>
      <c r="L1917" s="9">
        <v>2023</v>
      </c>
      <c r="M1917" s="8" t="s">
        <v>11044</v>
      </c>
      <c r="N1917" s="8" t="s">
        <v>54</v>
      </c>
      <c r="O1917" s="8" t="s">
        <v>91</v>
      </c>
      <c r="P1917" s="6" t="s">
        <v>44</v>
      </c>
      <c r="Q1917" s="8" t="s">
        <v>45</v>
      </c>
      <c r="R1917" s="10" t="s">
        <v>3174</v>
      </c>
      <c r="S1917" s="11"/>
      <c r="T1917" s="6"/>
      <c r="U1917" s="24" t="str">
        <f>HYPERLINK("https://media.infra-m.ru/1914/1914701/cover/1914701.jpg", "Обложка")</f>
        <v>Обложка</v>
      </c>
      <c r="V1917" s="24" t="str">
        <f>HYPERLINK("https://znanium.ru/catalog/product/1914701", "Ознакомиться")</f>
        <v>Ознакомиться</v>
      </c>
      <c r="W1917" s="8" t="s">
        <v>305</v>
      </c>
      <c r="X1917" s="6"/>
      <c r="Y1917" s="6"/>
      <c r="Z1917" s="6"/>
      <c r="AA1917" s="6" t="s">
        <v>119</v>
      </c>
      <c r="AB1917" s="8"/>
    </row>
    <row r="1918" spans="1:28" s="4" customFormat="1" ht="51.95" customHeight="1">
      <c r="A1918" s="5">
        <v>0</v>
      </c>
      <c r="B1918" s="6" t="s">
        <v>11045</v>
      </c>
      <c r="C1918" s="7">
        <v>2136</v>
      </c>
      <c r="D1918" s="8" t="s">
        <v>11046</v>
      </c>
      <c r="E1918" s="8" t="s">
        <v>11047</v>
      </c>
      <c r="F1918" s="8" t="s">
        <v>11048</v>
      </c>
      <c r="G1918" s="6" t="s">
        <v>81</v>
      </c>
      <c r="H1918" s="6" t="s">
        <v>39</v>
      </c>
      <c r="I1918" s="8" t="s">
        <v>1055</v>
      </c>
      <c r="J1918" s="9">
        <v>1</v>
      </c>
      <c r="K1918" s="9">
        <v>323</v>
      </c>
      <c r="L1918" s="9">
        <v>2026</v>
      </c>
      <c r="M1918" s="8" t="s">
        <v>11049</v>
      </c>
      <c r="N1918" s="8" t="s">
        <v>54</v>
      </c>
      <c r="O1918" s="8" t="s">
        <v>55</v>
      </c>
      <c r="P1918" s="6" t="s">
        <v>1057</v>
      </c>
      <c r="Q1918" s="8" t="s">
        <v>287</v>
      </c>
      <c r="R1918" s="10" t="s">
        <v>11050</v>
      </c>
      <c r="S1918" s="11"/>
      <c r="T1918" s="6"/>
      <c r="U1918" s="24" t="str">
        <f>HYPERLINK("https://media.infra-m.ru/2227/2227947/cover/2227947.jpg", "Обложка")</f>
        <v>Обложка</v>
      </c>
      <c r="V1918" s="24" t="str">
        <f>HYPERLINK("https://znanium.ru/catalog/product/2227947", "Ознакомиться")</f>
        <v>Ознакомиться</v>
      </c>
      <c r="W1918" s="8" t="s">
        <v>7660</v>
      </c>
      <c r="X1918" s="6"/>
      <c r="Y1918" s="6" t="s">
        <v>30</v>
      </c>
      <c r="Z1918" s="6"/>
      <c r="AA1918" s="6" t="s">
        <v>159</v>
      </c>
      <c r="AB1918" s="8"/>
    </row>
    <row r="1919" spans="1:28" s="4" customFormat="1" ht="42" customHeight="1">
      <c r="A1919" s="5">
        <v>0</v>
      </c>
      <c r="B1919" s="6" t="s">
        <v>11051</v>
      </c>
      <c r="C1919" s="7">
        <v>1368</v>
      </c>
      <c r="D1919" s="8" t="s">
        <v>11052</v>
      </c>
      <c r="E1919" s="8" t="s">
        <v>11053</v>
      </c>
      <c r="F1919" s="8" t="s">
        <v>1649</v>
      </c>
      <c r="G1919" s="6" t="s">
        <v>81</v>
      </c>
      <c r="H1919" s="6" t="s">
        <v>39</v>
      </c>
      <c r="I1919" s="8" t="s">
        <v>40</v>
      </c>
      <c r="J1919" s="9">
        <v>1</v>
      </c>
      <c r="K1919" s="9">
        <v>247</v>
      </c>
      <c r="L1919" s="9">
        <v>2023</v>
      </c>
      <c r="M1919" s="8" t="s">
        <v>11054</v>
      </c>
      <c r="N1919" s="8" t="s">
        <v>54</v>
      </c>
      <c r="O1919" s="8" t="s">
        <v>55</v>
      </c>
      <c r="P1919" s="6" t="s">
        <v>44</v>
      </c>
      <c r="Q1919" s="8" t="s">
        <v>45</v>
      </c>
      <c r="R1919" s="10" t="s">
        <v>11055</v>
      </c>
      <c r="S1919" s="11"/>
      <c r="T1919" s="6"/>
      <c r="U1919" s="24" t="str">
        <f>HYPERLINK("https://media.infra-m.ru/2110/2110071/cover/2110071.jpg", "Обложка")</f>
        <v>Обложка</v>
      </c>
      <c r="V1919" s="24" t="str">
        <f>HYPERLINK("https://znanium.ru/catalog/product/2110071", "Ознакомиться")</f>
        <v>Ознакомиться</v>
      </c>
      <c r="W1919" s="8" t="s">
        <v>1575</v>
      </c>
      <c r="X1919" s="6"/>
      <c r="Y1919" s="6"/>
      <c r="Z1919" s="6"/>
      <c r="AA1919" s="6" t="s">
        <v>76</v>
      </c>
      <c r="AB1919" s="8"/>
    </row>
    <row r="1920" spans="1:28" s="4" customFormat="1" ht="42" customHeight="1">
      <c r="A1920" s="5">
        <v>0</v>
      </c>
      <c r="B1920" s="6" t="s">
        <v>11056</v>
      </c>
      <c r="C1920" s="7">
        <v>1204.8</v>
      </c>
      <c r="D1920" s="8" t="s">
        <v>11057</v>
      </c>
      <c r="E1920" s="8" t="s">
        <v>11058</v>
      </c>
      <c r="F1920" s="8" t="s">
        <v>11059</v>
      </c>
      <c r="G1920" s="6" t="s">
        <v>81</v>
      </c>
      <c r="H1920" s="6" t="s">
        <v>39</v>
      </c>
      <c r="I1920" s="8" t="s">
        <v>164</v>
      </c>
      <c r="J1920" s="9">
        <v>1</v>
      </c>
      <c r="K1920" s="9">
        <v>219</v>
      </c>
      <c r="L1920" s="9">
        <v>2023</v>
      </c>
      <c r="M1920" s="8" t="s">
        <v>11060</v>
      </c>
      <c r="N1920" s="8" t="s">
        <v>42</v>
      </c>
      <c r="O1920" s="8" t="s">
        <v>189</v>
      </c>
      <c r="P1920" s="6" t="s">
        <v>44</v>
      </c>
      <c r="Q1920" s="8" t="s">
        <v>45</v>
      </c>
      <c r="R1920" s="10" t="s">
        <v>3954</v>
      </c>
      <c r="S1920" s="11"/>
      <c r="T1920" s="6"/>
      <c r="U1920" s="24" t="str">
        <f>HYPERLINK("https://media.infra-m.ru/2080/2080765/cover/2080765.jpg", "Обложка")</f>
        <v>Обложка</v>
      </c>
      <c r="V1920" s="24" t="str">
        <f>HYPERLINK("https://znanium.ru/catalog/product/1873038", "Ознакомиться")</f>
        <v>Ознакомиться</v>
      </c>
      <c r="W1920" s="8" t="s">
        <v>167</v>
      </c>
      <c r="X1920" s="6"/>
      <c r="Y1920" s="6"/>
      <c r="Z1920" s="6"/>
      <c r="AA1920" s="6" t="s">
        <v>76</v>
      </c>
      <c r="AB1920" s="8" t="s">
        <v>1902</v>
      </c>
    </row>
    <row r="1921" spans="1:28" s="4" customFormat="1" ht="42" customHeight="1">
      <c r="A1921" s="5">
        <v>0</v>
      </c>
      <c r="B1921" s="6" t="s">
        <v>11061</v>
      </c>
      <c r="C1921" s="7">
        <v>1440</v>
      </c>
      <c r="D1921" s="8" t="s">
        <v>11062</v>
      </c>
      <c r="E1921" s="8" t="s">
        <v>11063</v>
      </c>
      <c r="F1921" s="8" t="s">
        <v>11064</v>
      </c>
      <c r="G1921" s="6" t="s">
        <v>81</v>
      </c>
      <c r="H1921" s="6" t="s">
        <v>39</v>
      </c>
      <c r="I1921" s="8" t="s">
        <v>40</v>
      </c>
      <c r="J1921" s="9">
        <v>1</v>
      </c>
      <c r="K1921" s="9">
        <v>324</v>
      </c>
      <c r="L1921" s="9">
        <v>2021</v>
      </c>
      <c r="M1921" s="8" t="s">
        <v>11065</v>
      </c>
      <c r="N1921" s="8" t="s">
        <v>42</v>
      </c>
      <c r="O1921" s="8" t="s">
        <v>189</v>
      </c>
      <c r="P1921" s="6" t="s">
        <v>44</v>
      </c>
      <c r="Q1921" s="8" t="s">
        <v>45</v>
      </c>
      <c r="R1921" s="10" t="s">
        <v>11066</v>
      </c>
      <c r="S1921" s="11"/>
      <c r="T1921" s="6"/>
      <c r="U1921" s="24" t="str">
        <f>HYPERLINK("https://media.infra-m.ru/1245/1245318/cover/1245318.jpg", "Обложка")</f>
        <v>Обложка</v>
      </c>
      <c r="V1921" s="24" t="str">
        <f>HYPERLINK("https://znanium.ru/catalog/product/1245318", "Ознакомиться")</f>
        <v>Ознакомиться</v>
      </c>
      <c r="W1921" s="8" t="s">
        <v>1049</v>
      </c>
      <c r="X1921" s="6"/>
      <c r="Y1921" s="6"/>
      <c r="Z1921" s="6"/>
      <c r="AA1921" s="6" t="s">
        <v>177</v>
      </c>
      <c r="AB1921" s="8"/>
    </row>
    <row r="1922" spans="1:28" s="4" customFormat="1" ht="42" customHeight="1">
      <c r="A1922" s="5">
        <v>0</v>
      </c>
      <c r="B1922" s="6" t="s">
        <v>11067</v>
      </c>
      <c r="C1922" s="7">
        <v>1211.9000000000001</v>
      </c>
      <c r="D1922" s="8" t="s">
        <v>11068</v>
      </c>
      <c r="E1922" s="8" t="s">
        <v>11069</v>
      </c>
      <c r="F1922" s="8" t="s">
        <v>11070</v>
      </c>
      <c r="G1922" s="6" t="s">
        <v>132</v>
      </c>
      <c r="H1922" s="6" t="s">
        <v>39</v>
      </c>
      <c r="I1922" s="8" t="s">
        <v>40</v>
      </c>
      <c r="J1922" s="9">
        <v>1</v>
      </c>
      <c r="K1922" s="9">
        <v>324</v>
      </c>
      <c r="L1922" s="9">
        <v>2017</v>
      </c>
      <c r="M1922" s="8" t="s">
        <v>11065</v>
      </c>
      <c r="N1922" s="8" t="s">
        <v>42</v>
      </c>
      <c r="O1922" s="8" t="s">
        <v>189</v>
      </c>
      <c r="P1922" s="6" t="s">
        <v>44</v>
      </c>
      <c r="Q1922" s="8" t="s">
        <v>45</v>
      </c>
      <c r="R1922" s="10" t="s">
        <v>11066</v>
      </c>
      <c r="S1922" s="11"/>
      <c r="T1922" s="6"/>
      <c r="U1922" s="24" t="str">
        <f>HYPERLINK("https://media.infra-m.ru/0768/0768232/cover/768232.jpg", "Обложка")</f>
        <v>Обложка</v>
      </c>
      <c r="V1922" s="24" t="str">
        <f>HYPERLINK("https://znanium.ru/catalog/product/1245318", "Ознакомиться")</f>
        <v>Ознакомиться</v>
      </c>
      <c r="W1922" s="8" t="s">
        <v>1049</v>
      </c>
      <c r="X1922" s="6"/>
      <c r="Y1922" s="6"/>
      <c r="Z1922" s="6"/>
      <c r="AA1922" s="6" t="s">
        <v>339</v>
      </c>
      <c r="AB1922" s="8"/>
    </row>
    <row r="1923" spans="1:28" s="4" customFormat="1" ht="51.95" customHeight="1">
      <c r="A1923" s="5">
        <v>0</v>
      </c>
      <c r="B1923" s="6" t="s">
        <v>11071</v>
      </c>
      <c r="C1923" s="7">
        <v>1956</v>
      </c>
      <c r="D1923" s="8" t="s">
        <v>11072</v>
      </c>
      <c r="E1923" s="8" t="s">
        <v>11073</v>
      </c>
      <c r="F1923" s="8" t="s">
        <v>11074</v>
      </c>
      <c r="G1923" s="6" t="s">
        <v>132</v>
      </c>
      <c r="H1923" s="6" t="s">
        <v>39</v>
      </c>
      <c r="I1923" s="8" t="s">
        <v>40</v>
      </c>
      <c r="J1923" s="9">
        <v>1</v>
      </c>
      <c r="K1923" s="9">
        <v>307</v>
      </c>
      <c r="L1923" s="9">
        <v>2024</v>
      </c>
      <c r="M1923" s="8" t="s">
        <v>11075</v>
      </c>
      <c r="N1923" s="8" t="s">
        <v>42</v>
      </c>
      <c r="O1923" s="8" t="s">
        <v>189</v>
      </c>
      <c r="P1923" s="6" t="s">
        <v>44</v>
      </c>
      <c r="Q1923" s="8" t="s">
        <v>45</v>
      </c>
      <c r="R1923" s="10" t="s">
        <v>11076</v>
      </c>
      <c r="S1923" s="11"/>
      <c r="T1923" s="6"/>
      <c r="U1923" s="24" t="str">
        <f>HYPERLINK("https://media.infra-m.ru/2141/2141609/cover/2141609.jpg", "Обложка")</f>
        <v>Обложка</v>
      </c>
      <c r="V1923" s="24" t="str">
        <f>HYPERLINK("https://znanium.ru/catalog/product/2141609", "Ознакомиться")</f>
        <v>Ознакомиться</v>
      </c>
      <c r="W1923" s="8" t="s">
        <v>1119</v>
      </c>
      <c r="X1923" s="6"/>
      <c r="Y1923" s="6"/>
      <c r="Z1923" s="6"/>
      <c r="AA1923" s="6" t="s">
        <v>58</v>
      </c>
      <c r="AB1923" s="8"/>
    </row>
    <row r="1924" spans="1:28" s="4" customFormat="1" ht="44.1" customHeight="1">
      <c r="A1924" s="5">
        <v>0</v>
      </c>
      <c r="B1924" s="6" t="s">
        <v>11077</v>
      </c>
      <c r="C1924" s="13">
        <v>828</v>
      </c>
      <c r="D1924" s="8" t="s">
        <v>11078</v>
      </c>
      <c r="E1924" s="8" t="s">
        <v>11079</v>
      </c>
      <c r="F1924" s="8" t="s">
        <v>11080</v>
      </c>
      <c r="G1924" s="6" t="s">
        <v>38</v>
      </c>
      <c r="H1924" s="6" t="s">
        <v>39</v>
      </c>
      <c r="I1924" s="8" t="s">
        <v>40</v>
      </c>
      <c r="J1924" s="9">
        <v>1</v>
      </c>
      <c r="K1924" s="9">
        <v>147</v>
      </c>
      <c r="L1924" s="9">
        <v>2022</v>
      </c>
      <c r="M1924" s="8" t="s">
        <v>11081</v>
      </c>
      <c r="N1924" s="8" t="s">
        <v>42</v>
      </c>
      <c r="O1924" s="8" t="s">
        <v>189</v>
      </c>
      <c r="P1924" s="6" t="s">
        <v>44</v>
      </c>
      <c r="Q1924" s="8" t="s">
        <v>45</v>
      </c>
      <c r="R1924" s="10" t="s">
        <v>5007</v>
      </c>
      <c r="S1924" s="11"/>
      <c r="T1924" s="6"/>
      <c r="U1924" s="24" t="str">
        <f>HYPERLINK("https://media.infra-m.ru/1845/1845801/cover/1845801.jpg", "Обложка")</f>
        <v>Обложка</v>
      </c>
      <c r="V1924" s="24" t="str">
        <f>HYPERLINK("https://znanium.ru/catalog/product/1845801", "Ознакомиться")</f>
        <v>Ознакомиться</v>
      </c>
      <c r="W1924" s="8" t="s">
        <v>1119</v>
      </c>
      <c r="X1924" s="6"/>
      <c r="Y1924" s="6"/>
      <c r="Z1924" s="6"/>
      <c r="AA1924" s="6" t="s">
        <v>111</v>
      </c>
      <c r="AB1924" s="8"/>
    </row>
    <row r="1925" spans="1:28" s="4" customFormat="1" ht="44.1" customHeight="1">
      <c r="A1925" s="5">
        <v>0</v>
      </c>
      <c r="B1925" s="6" t="s">
        <v>11082</v>
      </c>
      <c r="C1925" s="7">
        <v>1516.8</v>
      </c>
      <c r="D1925" s="8" t="s">
        <v>11083</v>
      </c>
      <c r="E1925" s="8" t="s">
        <v>11084</v>
      </c>
      <c r="F1925" s="8" t="s">
        <v>11085</v>
      </c>
      <c r="G1925" s="6" t="s">
        <v>38</v>
      </c>
      <c r="H1925" s="6" t="s">
        <v>39</v>
      </c>
      <c r="I1925" s="8" t="s">
        <v>40</v>
      </c>
      <c r="J1925" s="9">
        <v>1</v>
      </c>
      <c r="K1925" s="9">
        <v>243</v>
      </c>
      <c r="L1925" s="9">
        <v>2025</v>
      </c>
      <c r="M1925" s="8" t="s">
        <v>11086</v>
      </c>
      <c r="N1925" s="8" t="s">
        <v>42</v>
      </c>
      <c r="O1925" s="8" t="s">
        <v>1035</v>
      </c>
      <c r="P1925" s="6" t="s">
        <v>44</v>
      </c>
      <c r="Q1925" s="8" t="s">
        <v>45</v>
      </c>
      <c r="R1925" s="10" t="s">
        <v>11087</v>
      </c>
      <c r="S1925" s="11"/>
      <c r="T1925" s="6"/>
      <c r="U1925" s="24" t="str">
        <f>HYPERLINK("https://media.infra-m.ru/2198/2198342/cover/2198342.jpg", "Обложка")</f>
        <v>Обложка</v>
      </c>
      <c r="V1925" s="24" t="str">
        <f>HYPERLINK("https://znanium.ru/catalog/product/2117153", "Ознакомиться")</f>
        <v>Ознакомиться</v>
      </c>
      <c r="W1925" s="8" t="s">
        <v>346</v>
      </c>
      <c r="X1925" s="6"/>
      <c r="Y1925" s="6"/>
      <c r="Z1925" s="6"/>
      <c r="AA1925" s="6" t="s">
        <v>168</v>
      </c>
      <c r="AB1925" s="8"/>
    </row>
    <row r="1926" spans="1:28" s="4" customFormat="1" ht="51.95" customHeight="1">
      <c r="A1926" s="5">
        <v>0</v>
      </c>
      <c r="B1926" s="6" t="s">
        <v>11088</v>
      </c>
      <c r="C1926" s="13">
        <v>868.8</v>
      </c>
      <c r="D1926" s="8" t="s">
        <v>11089</v>
      </c>
      <c r="E1926" s="8" t="s">
        <v>11090</v>
      </c>
      <c r="F1926" s="8" t="s">
        <v>11091</v>
      </c>
      <c r="G1926" s="6" t="s">
        <v>38</v>
      </c>
      <c r="H1926" s="6" t="s">
        <v>39</v>
      </c>
      <c r="I1926" s="8" t="s">
        <v>344</v>
      </c>
      <c r="J1926" s="9">
        <v>1</v>
      </c>
      <c r="K1926" s="9">
        <v>159</v>
      </c>
      <c r="L1926" s="9">
        <v>2023</v>
      </c>
      <c r="M1926" s="8" t="s">
        <v>11092</v>
      </c>
      <c r="N1926" s="8" t="s">
        <v>42</v>
      </c>
      <c r="O1926" s="8" t="s">
        <v>1035</v>
      </c>
      <c r="P1926" s="6" t="s">
        <v>44</v>
      </c>
      <c r="Q1926" s="8" t="s">
        <v>45</v>
      </c>
      <c r="R1926" s="10" t="s">
        <v>11093</v>
      </c>
      <c r="S1926" s="11"/>
      <c r="T1926" s="6"/>
      <c r="U1926" s="24" t="str">
        <f>HYPERLINK("https://media.infra-m.ru/2030/2030863/cover/2030863.jpg", "Обложка")</f>
        <v>Обложка</v>
      </c>
      <c r="V1926" s="24" t="str">
        <f>HYPERLINK("https://znanium.ru/catalog/product/989806", "Ознакомиться")</f>
        <v>Ознакомиться</v>
      </c>
      <c r="W1926" s="8" t="s">
        <v>346</v>
      </c>
      <c r="X1926" s="6"/>
      <c r="Y1926" s="6"/>
      <c r="Z1926" s="6"/>
      <c r="AA1926" s="6" t="s">
        <v>76</v>
      </c>
      <c r="AB1926" s="8"/>
    </row>
    <row r="1927" spans="1:28" s="4" customFormat="1" ht="42" customHeight="1">
      <c r="A1927" s="5">
        <v>0</v>
      </c>
      <c r="B1927" s="6" t="s">
        <v>11094</v>
      </c>
      <c r="C1927" s="7">
        <v>1140</v>
      </c>
      <c r="D1927" s="8" t="s">
        <v>11095</v>
      </c>
      <c r="E1927" s="8" t="s">
        <v>11096</v>
      </c>
      <c r="F1927" s="8" t="s">
        <v>11097</v>
      </c>
      <c r="G1927" s="6" t="s">
        <v>38</v>
      </c>
      <c r="H1927" s="6" t="s">
        <v>39</v>
      </c>
      <c r="I1927" s="8" t="s">
        <v>40</v>
      </c>
      <c r="J1927" s="9">
        <v>1</v>
      </c>
      <c r="K1927" s="9">
        <v>210</v>
      </c>
      <c r="L1927" s="9">
        <v>2023</v>
      </c>
      <c r="M1927" s="8" t="s">
        <v>11098</v>
      </c>
      <c r="N1927" s="8" t="s">
        <v>42</v>
      </c>
      <c r="O1927" s="8" t="s">
        <v>65</v>
      </c>
      <c r="P1927" s="6" t="s">
        <v>44</v>
      </c>
      <c r="Q1927" s="8" t="s">
        <v>45</v>
      </c>
      <c r="R1927" s="10" t="s">
        <v>11099</v>
      </c>
      <c r="S1927" s="11"/>
      <c r="T1927" s="6"/>
      <c r="U1927" s="24" t="str">
        <f>HYPERLINK("https://media.infra-m.ru/2021/2021419/cover/2021419.jpg", "Обложка")</f>
        <v>Обложка</v>
      </c>
      <c r="V1927" s="24" t="str">
        <f>HYPERLINK("https://znanium.ru/catalog/product/2021419", "Ознакомиться")</f>
        <v>Ознакомиться</v>
      </c>
      <c r="W1927" s="8" t="s">
        <v>6799</v>
      </c>
      <c r="X1927" s="6"/>
      <c r="Y1927" s="6"/>
      <c r="Z1927" s="6"/>
      <c r="AA1927" s="6" t="s">
        <v>68</v>
      </c>
      <c r="AB1927" s="8"/>
    </row>
    <row r="1928" spans="1:28" s="4" customFormat="1" ht="51.95" customHeight="1">
      <c r="A1928" s="5">
        <v>0</v>
      </c>
      <c r="B1928" s="6" t="s">
        <v>11100</v>
      </c>
      <c r="C1928" s="7">
        <v>2392.8000000000002</v>
      </c>
      <c r="D1928" s="8" t="s">
        <v>11101</v>
      </c>
      <c r="E1928" s="8" t="s">
        <v>11102</v>
      </c>
      <c r="F1928" s="8" t="s">
        <v>11103</v>
      </c>
      <c r="G1928" s="6" t="s">
        <v>132</v>
      </c>
      <c r="H1928" s="6" t="s">
        <v>99</v>
      </c>
      <c r="I1928" s="8"/>
      <c r="J1928" s="9">
        <v>1</v>
      </c>
      <c r="K1928" s="9">
        <v>448</v>
      </c>
      <c r="L1928" s="9">
        <v>2025</v>
      </c>
      <c r="M1928" s="8" t="s">
        <v>11104</v>
      </c>
      <c r="N1928" s="8" t="s">
        <v>42</v>
      </c>
      <c r="O1928" s="8" t="s">
        <v>101</v>
      </c>
      <c r="P1928" s="6" t="s">
        <v>44</v>
      </c>
      <c r="Q1928" s="8" t="s">
        <v>45</v>
      </c>
      <c r="R1928" s="10" t="s">
        <v>11105</v>
      </c>
      <c r="S1928" s="11"/>
      <c r="T1928" s="6"/>
      <c r="U1928" s="24" t="str">
        <f>HYPERLINK("https://media.infra-m.ru/2203/2203346/cover/2203346.jpg", "Обложка")</f>
        <v>Обложка</v>
      </c>
      <c r="V1928" s="24" t="str">
        <f>HYPERLINK("https://znanium.ru/catalog/product/1859091", "Ознакомиться")</f>
        <v>Ознакомиться</v>
      </c>
      <c r="W1928" s="8" t="s">
        <v>2281</v>
      </c>
      <c r="X1928" s="6"/>
      <c r="Y1928" s="6"/>
      <c r="Z1928" s="6"/>
      <c r="AA1928" s="6" t="s">
        <v>1050</v>
      </c>
      <c r="AB1928" s="8"/>
    </row>
    <row r="1929" spans="1:28" s="4" customFormat="1" ht="51.95" customHeight="1">
      <c r="A1929" s="5">
        <v>0</v>
      </c>
      <c r="B1929" s="6" t="s">
        <v>11106</v>
      </c>
      <c r="C1929" s="7">
        <v>1488</v>
      </c>
      <c r="D1929" s="8" t="s">
        <v>11107</v>
      </c>
      <c r="E1929" s="8" t="s">
        <v>11108</v>
      </c>
      <c r="F1929" s="8" t="s">
        <v>11109</v>
      </c>
      <c r="G1929" s="6" t="s">
        <v>132</v>
      </c>
      <c r="H1929" s="6" t="s">
        <v>39</v>
      </c>
      <c r="I1929" s="8" t="s">
        <v>164</v>
      </c>
      <c r="J1929" s="9">
        <v>1</v>
      </c>
      <c r="K1929" s="9">
        <v>227</v>
      </c>
      <c r="L1929" s="9">
        <v>2024</v>
      </c>
      <c r="M1929" s="8" t="s">
        <v>11110</v>
      </c>
      <c r="N1929" s="8" t="s">
        <v>42</v>
      </c>
      <c r="O1929" s="8" t="s">
        <v>65</v>
      </c>
      <c r="P1929" s="6" t="s">
        <v>44</v>
      </c>
      <c r="Q1929" s="8" t="s">
        <v>45</v>
      </c>
      <c r="R1929" s="10" t="s">
        <v>11111</v>
      </c>
      <c r="S1929" s="11"/>
      <c r="T1929" s="6"/>
      <c r="U1929" s="24" t="str">
        <f>HYPERLINK("https://media.infra-m.ru/2162/2162821/cover/2162821.jpg", "Обложка")</f>
        <v>Обложка</v>
      </c>
      <c r="V1929" s="24" t="str">
        <f>HYPERLINK("https://znanium.ru/catalog/product/2162821", "Ознакомиться")</f>
        <v>Ознакомиться</v>
      </c>
      <c r="W1929" s="8" t="s">
        <v>167</v>
      </c>
      <c r="X1929" s="6"/>
      <c r="Y1929" s="6"/>
      <c r="Z1929" s="6"/>
      <c r="AA1929" s="6" t="s">
        <v>58</v>
      </c>
      <c r="AB1929" s="8"/>
    </row>
    <row r="1930" spans="1:28" s="4" customFormat="1" ht="51.95" customHeight="1">
      <c r="A1930" s="5">
        <v>0</v>
      </c>
      <c r="B1930" s="6" t="s">
        <v>11112</v>
      </c>
      <c r="C1930" s="7">
        <v>2208</v>
      </c>
      <c r="D1930" s="8" t="s">
        <v>11113</v>
      </c>
      <c r="E1930" s="8" t="s">
        <v>11114</v>
      </c>
      <c r="F1930" s="8" t="s">
        <v>11115</v>
      </c>
      <c r="G1930" s="6" t="s">
        <v>81</v>
      </c>
      <c r="H1930" s="6" t="s">
        <v>39</v>
      </c>
      <c r="I1930" s="8" t="s">
        <v>1055</v>
      </c>
      <c r="J1930" s="9">
        <v>1</v>
      </c>
      <c r="K1930" s="9">
        <v>286</v>
      </c>
      <c r="L1930" s="9">
        <v>2024</v>
      </c>
      <c r="M1930" s="8" t="s">
        <v>11116</v>
      </c>
      <c r="N1930" s="8" t="s">
        <v>42</v>
      </c>
      <c r="O1930" s="8" t="s">
        <v>246</v>
      </c>
      <c r="P1930" s="6" t="s">
        <v>1057</v>
      </c>
      <c r="Q1930" s="8" t="s">
        <v>45</v>
      </c>
      <c r="R1930" s="10" t="s">
        <v>11117</v>
      </c>
      <c r="S1930" s="11"/>
      <c r="T1930" s="6"/>
      <c r="U1930" s="24" t="str">
        <f>HYPERLINK("https://media.infra-m.ru/2166/2166628/cover/2166628.jpg", "Обложка")</f>
        <v>Обложка</v>
      </c>
      <c r="V1930" s="24" t="str">
        <f>HYPERLINK("https://znanium.ru/catalog/product/2192986", "Ознакомиться")</f>
        <v>Ознакомиться</v>
      </c>
      <c r="W1930" s="8" t="s">
        <v>1049</v>
      </c>
      <c r="X1930" s="6"/>
      <c r="Y1930" s="6"/>
      <c r="Z1930" s="6"/>
      <c r="AA1930" s="6" t="s">
        <v>1494</v>
      </c>
      <c r="AB1930" s="8"/>
    </row>
    <row r="1931" spans="1:28" s="4" customFormat="1" ht="51.95" customHeight="1">
      <c r="A1931" s="5">
        <v>0</v>
      </c>
      <c r="B1931" s="6" t="s">
        <v>11118</v>
      </c>
      <c r="C1931" s="7">
        <v>2220</v>
      </c>
      <c r="D1931" s="8" t="s">
        <v>11119</v>
      </c>
      <c r="E1931" s="8" t="s">
        <v>11120</v>
      </c>
      <c r="F1931" s="8" t="s">
        <v>11115</v>
      </c>
      <c r="G1931" s="6" t="s">
        <v>81</v>
      </c>
      <c r="H1931" s="6" t="s">
        <v>39</v>
      </c>
      <c r="I1931" s="8" t="s">
        <v>40</v>
      </c>
      <c r="J1931" s="9">
        <v>1</v>
      </c>
      <c r="K1931" s="9">
        <v>290</v>
      </c>
      <c r="L1931" s="9">
        <v>2025</v>
      </c>
      <c r="M1931" s="8" t="s">
        <v>11121</v>
      </c>
      <c r="N1931" s="8" t="s">
        <v>42</v>
      </c>
      <c r="O1931" s="8" t="s">
        <v>246</v>
      </c>
      <c r="P1931" s="6" t="s">
        <v>1057</v>
      </c>
      <c r="Q1931" s="8" t="s">
        <v>45</v>
      </c>
      <c r="R1931" s="10" t="s">
        <v>11117</v>
      </c>
      <c r="S1931" s="11"/>
      <c r="T1931" s="6"/>
      <c r="U1931" s="24" t="str">
        <f>HYPERLINK("https://media.infra-m.ru/2192/2192986/cover/2192986.jpg", "Обложка")</f>
        <v>Обложка</v>
      </c>
      <c r="V1931" s="24" t="str">
        <f>HYPERLINK("https://znanium.ru/catalog/product/2192986", "Ознакомиться")</f>
        <v>Ознакомиться</v>
      </c>
      <c r="W1931" s="8" t="s">
        <v>1049</v>
      </c>
      <c r="X1931" s="6"/>
      <c r="Y1931" s="6"/>
      <c r="Z1931" s="6"/>
      <c r="AA1931" s="6" t="s">
        <v>419</v>
      </c>
      <c r="AB1931" s="8"/>
    </row>
    <row r="1932" spans="1:28" s="4" customFormat="1" ht="51.95" customHeight="1">
      <c r="A1932" s="5">
        <v>0</v>
      </c>
      <c r="B1932" s="6" t="s">
        <v>11122</v>
      </c>
      <c r="C1932" s="7">
        <v>1080</v>
      </c>
      <c r="D1932" s="8" t="s">
        <v>11123</v>
      </c>
      <c r="E1932" s="8" t="s">
        <v>11124</v>
      </c>
      <c r="F1932" s="8" t="s">
        <v>11115</v>
      </c>
      <c r="G1932" s="6" t="s">
        <v>9742</v>
      </c>
      <c r="H1932" s="6" t="s">
        <v>39</v>
      </c>
      <c r="I1932" s="8"/>
      <c r="J1932" s="9">
        <v>1</v>
      </c>
      <c r="K1932" s="9">
        <v>280</v>
      </c>
      <c r="L1932" s="9">
        <v>2018</v>
      </c>
      <c r="M1932" s="8" t="s">
        <v>11125</v>
      </c>
      <c r="N1932" s="8" t="s">
        <v>42</v>
      </c>
      <c r="O1932" s="8" t="s">
        <v>246</v>
      </c>
      <c r="P1932" s="6" t="s">
        <v>1057</v>
      </c>
      <c r="Q1932" s="8" t="s">
        <v>45</v>
      </c>
      <c r="R1932" s="10" t="s">
        <v>11117</v>
      </c>
      <c r="S1932" s="11"/>
      <c r="T1932" s="6"/>
      <c r="U1932" s="24" t="str">
        <f>HYPERLINK("https://media.infra-m.ru/0959/0959358/cover/959358.jpg", "Обложка")</f>
        <v>Обложка</v>
      </c>
      <c r="V1932" s="24" t="str">
        <f>HYPERLINK("https://znanium.ru/catalog/product/2192986", "Ознакомиться")</f>
        <v>Ознакомиться</v>
      </c>
      <c r="W1932" s="8" t="s">
        <v>1049</v>
      </c>
      <c r="X1932" s="6"/>
      <c r="Y1932" s="6"/>
      <c r="Z1932" s="6"/>
      <c r="AA1932" s="6" t="s">
        <v>68</v>
      </c>
      <c r="AB1932" s="8"/>
    </row>
    <row r="1933" spans="1:28" s="4" customFormat="1" ht="44.1" customHeight="1">
      <c r="A1933" s="5">
        <v>0</v>
      </c>
      <c r="B1933" s="6" t="s">
        <v>11126</v>
      </c>
      <c r="C1933" s="7">
        <v>1180.8</v>
      </c>
      <c r="D1933" s="8" t="s">
        <v>11127</v>
      </c>
      <c r="E1933" s="8" t="s">
        <v>11128</v>
      </c>
      <c r="F1933" s="8" t="s">
        <v>11129</v>
      </c>
      <c r="G1933" s="6" t="s">
        <v>38</v>
      </c>
      <c r="H1933" s="6" t="s">
        <v>39</v>
      </c>
      <c r="I1933" s="8" t="s">
        <v>40</v>
      </c>
      <c r="J1933" s="9">
        <v>1</v>
      </c>
      <c r="K1933" s="9">
        <v>210</v>
      </c>
      <c r="L1933" s="9">
        <v>2024</v>
      </c>
      <c r="M1933" s="8" t="s">
        <v>11130</v>
      </c>
      <c r="N1933" s="8" t="s">
        <v>54</v>
      </c>
      <c r="O1933" s="8" t="s">
        <v>117</v>
      </c>
      <c r="P1933" s="6" t="s">
        <v>44</v>
      </c>
      <c r="Q1933" s="8" t="s">
        <v>45</v>
      </c>
      <c r="R1933" s="10" t="s">
        <v>11131</v>
      </c>
      <c r="S1933" s="11"/>
      <c r="T1933" s="6"/>
      <c r="U1933" s="24" t="str">
        <f>HYPERLINK("https://media.infra-m.ru/2138/2138718/cover/2138718.jpg", "Обложка")</f>
        <v>Обложка</v>
      </c>
      <c r="V1933" s="24" t="str">
        <f>HYPERLINK("https://znanium.ru/catalog/product/1912413", "Ознакомиться")</f>
        <v>Ознакомиться</v>
      </c>
      <c r="W1933" s="8" t="s">
        <v>1735</v>
      </c>
      <c r="X1933" s="6"/>
      <c r="Y1933" s="6"/>
      <c r="Z1933" s="6"/>
      <c r="AA1933" s="6" t="s">
        <v>199</v>
      </c>
      <c r="AB1933" s="8"/>
    </row>
    <row r="1934" spans="1:28" s="4" customFormat="1" ht="51.95" customHeight="1">
      <c r="A1934" s="5">
        <v>0</v>
      </c>
      <c r="B1934" s="6" t="s">
        <v>11132</v>
      </c>
      <c r="C1934" s="7">
        <v>1500</v>
      </c>
      <c r="D1934" s="8" t="s">
        <v>11133</v>
      </c>
      <c r="E1934" s="8" t="s">
        <v>11134</v>
      </c>
      <c r="F1934" s="8" t="s">
        <v>11135</v>
      </c>
      <c r="G1934" s="6" t="s">
        <v>38</v>
      </c>
      <c r="H1934" s="6" t="s">
        <v>39</v>
      </c>
      <c r="I1934" s="8" t="s">
        <v>40</v>
      </c>
      <c r="J1934" s="9">
        <v>1</v>
      </c>
      <c r="K1934" s="9">
        <v>271</v>
      </c>
      <c r="L1934" s="9">
        <v>2024</v>
      </c>
      <c r="M1934" s="8" t="s">
        <v>11136</v>
      </c>
      <c r="N1934" s="8" t="s">
        <v>284</v>
      </c>
      <c r="O1934" s="8" t="s">
        <v>312</v>
      </c>
      <c r="P1934" s="6" t="s">
        <v>44</v>
      </c>
      <c r="Q1934" s="8" t="s">
        <v>45</v>
      </c>
      <c r="R1934" s="10" t="s">
        <v>11137</v>
      </c>
      <c r="S1934" s="11"/>
      <c r="T1934" s="6"/>
      <c r="U1934" s="24" t="str">
        <f>HYPERLINK("https://media.infra-m.ru/1855/1855777/cover/1855777.jpg", "Обложка")</f>
        <v>Обложка</v>
      </c>
      <c r="V1934" s="24" t="str">
        <f>HYPERLINK("https://znanium.ru/catalog/product/1855777", "Ознакомиться")</f>
        <v>Ознакомиться</v>
      </c>
      <c r="W1934" s="8" t="s">
        <v>524</v>
      </c>
      <c r="X1934" s="6"/>
      <c r="Y1934" s="6"/>
      <c r="Z1934" s="6"/>
      <c r="AA1934" s="6" t="s">
        <v>339</v>
      </c>
      <c r="AB1934" s="8"/>
    </row>
    <row r="1935" spans="1:28" s="4" customFormat="1" ht="42" customHeight="1">
      <c r="A1935" s="5">
        <v>0</v>
      </c>
      <c r="B1935" s="6" t="s">
        <v>11138</v>
      </c>
      <c r="C1935" s="7">
        <v>1356</v>
      </c>
      <c r="D1935" s="8" t="s">
        <v>11139</v>
      </c>
      <c r="E1935" s="8" t="s">
        <v>11140</v>
      </c>
      <c r="F1935" s="8" t="s">
        <v>11141</v>
      </c>
      <c r="G1935" s="6" t="s">
        <v>81</v>
      </c>
      <c r="H1935" s="6" t="s">
        <v>39</v>
      </c>
      <c r="I1935" s="8" t="s">
        <v>40</v>
      </c>
      <c r="J1935" s="9">
        <v>1</v>
      </c>
      <c r="K1935" s="9">
        <v>235</v>
      </c>
      <c r="L1935" s="9">
        <v>2024</v>
      </c>
      <c r="M1935" s="8" t="s">
        <v>11142</v>
      </c>
      <c r="N1935" s="8" t="s">
        <v>42</v>
      </c>
      <c r="O1935" s="8" t="s">
        <v>189</v>
      </c>
      <c r="P1935" s="6" t="s">
        <v>44</v>
      </c>
      <c r="Q1935" s="8" t="s">
        <v>45</v>
      </c>
      <c r="R1935" s="10" t="s">
        <v>4039</v>
      </c>
      <c r="S1935" s="11"/>
      <c r="T1935" s="6"/>
      <c r="U1935" s="24" t="str">
        <f>HYPERLINK("https://media.infra-m.ru/2079/2079697/cover/2079697.jpg", "Обложка")</f>
        <v>Обложка</v>
      </c>
      <c r="V1935" s="24" t="str">
        <f>HYPERLINK("https://znanium.ru/catalog/product/2079697", "Ознакомиться")</f>
        <v>Ознакомиться</v>
      </c>
      <c r="W1935" s="8" t="s">
        <v>1837</v>
      </c>
      <c r="X1935" s="6"/>
      <c r="Y1935" s="6"/>
      <c r="Z1935" s="6"/>
      <c r="AA1935" s="6" t="s">
        <v>119</v>
      </c>
      <c r="AB1935" s="8"/>
    </row>
    <row r="1936" spans="1:28" s="4" customFormat="1" ht="51.95" customHeight="1">
      <c r="A1936" s="5">
        <v>0</v>
      </c>
      <c r="B1936" s="6" t="s">
        <v>11143</v>
      </c>
      <c r="C1936" s="13">
        <v>552</v>
      </c>
      <c r="D1936" s="8" t="s">
        <v>11144</v>
      </c>
      <c r="E1936" s="8" t="s">
        <v>11145</v>
      </c>
      <c r="F1936" s="8" t="s">
        <v>11146</v>
      </c>
      <c r="G1936" s="6" t="s">
        <v>38</v>
      </c>
      <c r="H1936" s="6" t="s">
        <v>39</v>
      </c>
      <c r="I1936" s="8"/>
      <c r="J1936" s="9">
        <v>1</v>
      </c>
      <c r="K1936" s="9">
        <v>115</v>
      </c>
      <c r="L1936" s="9">
        <v>2022</v>
      </c>
      <c r="M1936" s="8" t="s">
        <v>11147</v>
      </c>
      <c r="N1936" s="8" t="s">
        <v>42</v>
      </c>
      <c r="O1936" s="8" t="s">
        <v>189</v>
      </c>
      <c r="P1936" s="6" t="s">
        <v>44</v>
      </c>
      <c r="Q1936" s="8" t="s">
        <v>45</v>
      </c>
      <c r="R1936" s="10" t="s">
        <v>11148</v>
      </c>
      <c r="S1936" s="11"/>
      <c r="T1936" s="6"/>
      <c r="U1936" s="24" t="str">
        <f>HYPERLINK("https://media.infra-m.ru/1895/1895985/cover/1895985.jpg", "Обложка")</f>
        <v>Обложка</v>
      </c>
      <c r="V1936" s="12"/>
      <c r="W1936" s="8" t="s">
        <v>191</v>
      </c>
      <c r="X1936" s="6"/>
      <c r="Y1936" s="6"/>
      <c r="Z1936" s="6"/>
      <c r="AA1936" s="6" t="s">
        <v>111</v>
      </c>
      <c r="AB1936" s="8"/>
    </row>
    <row r="1937" spans="1:28" s="4" customFormat="1" ht="51.95" customHeight="1">
      <c r="A1937" s="5">
        <v>0</v>
      </c>
      <c r="B1937" s="6" t="s">
        <v>11149</v>
      </c>
      <c r="C1937" s="13">
        <v>917.9</v>
      </c>
      <c r="D1937" s="8" t="s">
        <v>11150</v>
      </c>
      <c r="E1937" s="8" t="s">
        <v>11151</v>
      </c>
      <c r="F1937" s="8" t="s">
        <v>11152</v>
      </c>
      <c r="G1937" s="6" t="s">
        <v>132</v>
      </c>
      <c r="H1937" s="6" t="s">
        <v>39</v>
      </c>
      <c r="I1937" s="8" t="s">
        <v>344</v>
      </c>
      <c r="J1937" s="9">
        <v>1</v>
      </c>
      <c r="K1937" s="9">
        <v>170</v>
      </c>
      <c r="L1937" s="9">
        <v>2023</v>
      </c>
      <c r="M1937" s="8" t="s">
        <v>11153</v>
      </c>
      <c r="N1937" s="8" t="s">
        <v>284</v>
      </c>
      <c r="O1937" s="8" t="s">
        <v>285</v>
      </c>
      <c r="P1937" s="6" t="s">
        <v>44</v>
      </c>
      <c r="Q1937" s="8" t="s">
        <v>45</v>
      </c>
      <c r="R1937" s="10" t="s">
        <v>11154</v>
      </c>
      <c r="S1937" s="11"/>
      <c r="T1937" s="6"/>
      <c r="U1937" s="24" t="str">
        <f>HYPERLINK("https://media.infra-m.ru/2006/2006893/cover/2006893.jpg", "Обложка")</f>
        <v>Обложка</v>
      </c>
      <c r="V1937" s="12"/>
      <c r="W1937" s="8" t="s">
        <v>191</v>
      </c>
      <c r="X1937" s="6"/>
      <c r="Y1937" s="6"/>
      <c r="Z1937" s="6"/>
      <c r="AA1937" s="6" t="s">
        <v>68</v>
      </c>
      <c r="AB1937" s="8"/>
    </row>
    <row r="1938" spans="1:28" s="4" customFormat="1" ht="51.95" customHeight="1">
      <c r="A1938" s="5">
        <v>0</v>
      </c>
      <c r="B1938" s="6" t="s">
        <v>11155</v>
      </c>
      <c r="C1938" s="7">
        <v>1144.8</v>
      </c>
      <c r="D1938" s="8" t="s">
        <v>11156</v>
      </c>
      <c r="E1938" s="8" t="s">
        <v>11157</v>
      </c>
      <c r="F1938" s="8" t="s">
        <v>1371</v>
      </c>
      <c r="G1938" s="6" t="s">
        <v>132</v>
      </c>
      <c r="H1938" s="6" t="s">
        <v>99</v>
      </c>
      <c r="I1938" s="8"/>
      <c r="J1938" s="9">
        <v>1</v>
      </c>
      <c r="K1938" s="9">
        <v>204</v>
      </c>
      <c r="L1938" s="9">
        <v>2024</v>
      </c>
      <c r="M1938" s="8" t="s">
        <v>11158</v>
      </c>
      <c r="N1938" s="8" t="s">
        <v>42</v>
      </c>
      <c r="O1938" s="8" t="s">
        <v>101</v>
      </c>
      <c r="P1938" s="6" t="s">
        <v>44</v>
      </c>
      <c r="Q1938" s="8" t="s">
        <v>45</v>
      </c>
      <c r="R1938" s="10" t="s">
        <v>11159</v>
      </c>
      <c r="S1938" s="11"/>
      <c r="T1938" s="6"/>
      <c r="U1938" s="24" t="str">
        <f>HYPERLINK("https://media.infra-m.ru/2148/2148551/cover/2148551.jpg", "Обложка")</f>
        <v>Обложка</v>
      </c>
      <c r="V1938" s="24" t="str">
        <f>HYPERLINK("https://znanium.ru/catalog/product/1877359", "Ознакомиться")</f>
        <v>Ознакомиться</v>
      </c>
      <c r="W1938" s="8" t="s">
        <v>418</v>
      </c>
      <c r="X1938" s="6"/>
      <c r="Y1938" s="6"/>
      <c r="Z1938" s="6"/>
      <c r="AA1938" s="6" t="s">
        <v>369</v>
      </c>
      <c r="AB1938" s="8"/>
    </row>
    <row r="1939" spans="1:28" s="4" customFormat="1" ht="51.95" customHeight="1">
      <c r="A1939" s="5">
        <v>0</v>
      </c>
      <c r="B1939" s="6" t="s">
        <v>11160</v>
      </c>
      <c r="C1939" s="7">
        <v>1404</v>
      </c>
      <c r="D1939" s="8" t="s">
        <v>11161</v>
      </c>
      <c r="E1939" s="8" t="s">
        <v>11162</v>
      </c>
      <c r="F1939" s="8" t="s">
        <v>1598</v>
      </c>
      <c r="G1939" s="6" t="s">
        <v>38</v>
      </c>
      <c r="H1939" s="6" t="s">
        <v>39</v>
      </c>
      <c r="I1939" s="8" t="s">
        <v>40</v>
      </c>
      <c r="J1939" s="9">
        <v>1</v>
      </c>
      <c r="K1939" s="9">
        <v>300</v>
      </c>
      <c r="L1939" s="9">
        <v>2022</v>
      </c>
      <c r="M1939" s="8" t="s">
        <v>11163</v>
      </c>
      <c r="N1939" s="8" t="s">
        <v>42</v>
      </c>
      <c r="O1939" s="8" t="s">
        <v>65</v>
      </c>
      <c r="P1939" s="6" t="s">
        <v>44</v>
      </c>
      <c r="Q1939" s="8" t="s">
        <v>45</v>
      </c>
      <c r="R1939" s="10" t="s">
        <v>11164</v>
      </c>
      <c r="S1939" s="11"/>
      <c r="T1939" s="6"/>
      <c r="U1939" s="24" t="str">
        <f>HYPERLINK("https://media.infra-m.ru/1817/1817282/cover/1817282.jpg", "Обложка")</f>
        <v>Обложка</v>
      </c>
      <c r="V1939" s="24" t="str">
        <f>HYPERLINK("https://znanium.ru/catalog/product/1817282", "Ознакомиться")</f>
        <v>Ознакомиться</v>
      </c>
      <c r="W1939" s="8" t="s">
        <v>1601</v>
      </c>
      <c r="X1939" s="6"/>
      <c r="Y1939" s="6"/>
      <c r="Z1939" s="6"/>
      <c r="AA1939" s="6" t="s">
        <v>111</v>
      </c>
      <c r="AB1939" s="8"/>
    </row>
    <row r="1940" spans="1:28" s="4" customFormat="1" ht="51.95" customHeight="1">
      <c r="A1940" s="5">
        <v>0</v>
      </c>
      <c r="B1940" s="6" t="s">
        <v>11165</v>
      </c>
      <c r="C1940" s="7">
        <v>1344</v>
      </c>
      <c r="D1940" s="8" t="s">
        <v>11166</v>
      </c>
      <c r="E1940" s="8" t="s">
        <v>11167</v>
      </c>
      <c r="F1940" s="8" t="s">
        <v>11168</v>
      </c>
      <c r="G1940" s="6" t="s">
        <v>38</v>
      </c>
      <c r="H1940" s="6" t="s">
        <v>39</v>
      </c>
      <c r="I1940" s="8" t="s">
        <v>40</v>
      </c>
      <c r="J1940" s="9">
        <v>1</v>
      </c>
      <c r="K1940" s="9">
        <v>214</v>
      </c>
      <c r="L1940" s="9">
        <v>2025</v>
      </c>
      <c r="M1940" s="8" t="s">
        <v>11169</v>
      </c>
      <c r="N1940" s="8" t="s">
        <v>42</v>
      </c>
      <c r="O1940" s="8" t="s">
        <v>43</v>
      </c>
      <c r="P1940" s="6" t="s">
        <v>44</v>
      </c>
      <c r="Q1940" s="8" t="s">
        <v>45</v>
      </c>
      <c r="R1940" s="10" t="s">
        <v>11170</v>
      </c>
      <c r="S1940" s="11"/>
      <c r="T1940" s="6"/>
      <c r="U1940" s="24" t="str">
        <f>HYPERLINK("https://media.infra-m.ru/2208/2208458/cover/2208458.jpg", "Обложка")</f>
        <v>Обложка</v>
      </c>
      <c r="V1940" s="24" t="str">
        <f>HYPERLINK("https://znanium.ru/catalog/product/2208458", "Ознакомиться")</f>
        <v>Ознакомиться</v>
      </c>
      <c r="W1940" s="8" t="s">
        <v>207</v>
      </c>
      <c r="X1940" s="6"/>
      <c r="Y1940" s="6"/>
      <c r="Z1940" s="6"/>
      <c r="AA1940" s="6" t="s">
        <v>339</v>
      </c>
      <c r="AB1940" s="8"/>
    </row>
    <row r="1941" spans="1:28" s="4" customFormat="1" ht="51.95" customHeight="1">
      <c r="A1941" s="5">
        <v>0</v>
      </c>
      <c r="B1941" s="6" t="s">
        <v>11171</v>
      </c>
      <c r="C1941" s="7">
        <v>3372</v>
      </c>
      <c r="D1941" s="8" t="s">
        <v>11172</v>
      </c>
      <c r="E1941" s="8" t="s">
        <v>11173</v>
      </c>
      <c r="F1941" s="8" t="s">
        <v>11174</v>
      </c>
      <c r="G1941" s="6" t="s">
        <v>132</v>
      </c>
      <c r="H1941" s="6" t="s">
        <v>39</v>
      </c>
      <c r="I1941" s="8" t="s">
        <v>40</v>
      </c>
      <c r="J1941" s="9">
        <v>1</v>
      </c>
      <c r="K1941" s="9">
        <v>540</v>
      </c>
      <c r="L1941" s="9">
        <v>2025</v>
      </c>
      <c r="M1941" s="8" t="s">
        <v>11175</v>
      </c>
      <c r="N1941" s="8" t="s">
        <v>42</v>
      </c>
      <c r="O1941" s="8" t="s">
        <v>155</v>
      </c>
      <c r="P1941" s="6" t="s">
        <v>44</v>
      </c>
      <c r="Q1941" s="8" t="s">
        <v>45</v>
      </c>
      <c r="R1941" s="10" t="s">
        <v>11176</v>
      </c>
      <c r="S1941" s="11"/>
      <c r="T1941" s="6"/>
      <c r="U1941" s="24" t="str">
        <f>HYPERLINK("https://media.infra-m.ru/2208/2208984/cover/2208984.jpg", "Обложка")</f>
        <v>Обложка</v>
      </c>
      <c r="V1941" s="24" t="str">
        <f>HYPERLINK("https://znanium.ru/catalog/product/2208984", "Ознакомиться")</f>
        <v>Ознакомиться</v>
      </c>
      <c r="W1941" s="8" t="s">
        <v>11177</v>
      </c>
      <c r="X1941" s="6"/>
      <c r="Y1941" s="6"/>
      <c r="Z1941" s="6"/>
      <c r="AA1941" s="6" t="s">
        <v>68</v>
      </c>
      <c r="AB1941" s="8"/>
    </row>
    <row r="1942" spans="1:28" s="4" customFormat="1" ht="51.95" customHeight="1">
      <c r="A1942" s="5">
        <v>0</v>
      </c>
      <c r="B1942" s="6" t="s">
        <v>11178</v>
      </c>
      <c r="C1942" s="7">
        <v>1980</v>
      </c>
      <c r="D1942" s="8" t="s">
        <v>11179</v>
      </c>
      <c r="E1942" s="8" t="s">
        <v>11180</v>
      </c>
      <c r="F1942" s="8" t="s">
        <v>11181</v>
      </c>
      <c r="G1942" s="6" t="s">
        <v>81</v>
      </c>
      <c r="H1942" s="6" t="s">
        <v>39</v>
      </c>
      <c r="I1942" s="8" t="s">
        <v>40</v>
      </c>
      <c r="J1942" s="9">
        <v>1</v>
      </c>
      <c r="K1942" s="9">
        <v>484</v>
      </c>
      <c r="L1942" s="9">
        <v>2019</v>
      </c>
      <c r="M1942" s="8" t="s">
        <v>11182</v>
      </c>
      <c r="N1942" s="8" t="s">
        <v>42</v>
      </c>
      <c r="O1942" s="8" t="s">
        <v>101</v>
      </c>
      <c r="P1942" s="6" t="s">
        <v>580</v>
      </c>
      <c r="Q1942" s="8" t="s">
        <v>45</v>
      </c>
      <c r="R1942" s="10" t="s">
        <v>11183</v>
      </c>
      <c r="S1942" s="11"/>
      <c r="T1942" s="6"/>
      <c r="U1942" s="24" t="str">
        <f>HYPERLINK("https://media.infra-m.ru/0987/0987411/cover/987411.jpg", "Обложка")</f>
        <v>Обложка</v>
      </c>
      <c r="V1942" s="24" t="str">
        <f>HYPERLINK("https://znanium.ru/catalog/product/987411", "Ознакомиться")</f>
        <v>Ознакомиться</v>
      </c>
      <c r="W1942" s="8" t="s">
        <v>601</v>
      </c>
      <c r="X1942" s="6"/>
      <c r="Y1942" s="6"/>
      <c r="Z1942" s="6"/>
      <c r="AA1942" s="6" t="s">
        <v>369</v>
      </c>
      <c r="AB1942" s="8"/>
    </row>
    <row r="1943" spans="1:28" s="4" customFormat="1" ht="51.95" customHeight="1">
      <c r="A1943" s="5">
        <v>0</v>
      </c>
      <c r="B1943" s="6" t="s">
        <v>11184</v>
      </c>
      <c r="C1943" s="7">
        <v>1484.4</v>
      </c>
      <c r="D1943" s="8" t="s">
        <v>11185</v>
      </c>
      <c r="E1943" s="8" t="s">
        <v>11186</v>
      </c>
      <c r="F1943" s="8" t="s">
        <v>11187</v>
      </c>
      <c r="G1943" s="6" t="s">
        <v>132</v>
      </c>
      <c r="H1943" s="6" t="s">
        <v>99</v>
      </c>
      <c r="I1943" s="8"/>
      <c r="J1943" s="9">
        <v>1</v>
      </c>
      <c r="K1943" s="9">
        <v>200</v>
      </c>
      <c r="L1943" s="9">
        <v>2025</v>
      </c>
      <c r="M1943" s="8" t="s">
        <v>11188</v>
      </c>
      <c r="N1943" s="8" t="s">
        <v>42</v>
      </c>
      <c r="O1943" s="8" t="s">
        <v>101</v>
      </c>
      <c r="P1943" s="6" t="s">
        <v>239</v>
      </c>
      <c r="Q1943" s="8" t="s">
        <v>3884</v>
      </c>
      <c r="R1943" s="10" t="s">
        <v>11189</v>
      </c>
      <c r="S1943" s="11"/>
      <c r="T1943" s="6"/>
      <c r="U1943" s="24" t="str">
        <f>HYPERLINK("https://media.infra-m.ru/2213/2213262/cover/2213262.jpg", "Обложка")</f>
        <v>Обложка</v>
      </c>
      <c r="V1943" s="24" t="str">
        <f>HYPERLINK("https://znanium.ru/catalog/product/2205623", "Ознакомиться")</f>
        <v>Ознакомиться</v>
      </c>
      <c r="W1943" s="8" t="s">
        <v>418</v>
      </c>
      <c r="X1943" s="6"/>
      <c r="Y1943" s="6"/>
      <c r="Z1943" s="6"/>
      <c r="AA1943" s="6" t="s">
        <v>159</v>
      </c>
      <c r="AB1943" s="8"/>
    </row>
    <row r="1944" spans="1:28" s="4" customFormat="1" ht="42" customHeight="1">
      <c r="A1944" s="5">
        <v>0</v>
      </c>
      <c r="B1944" s="6" t="s">
        <v>11190</v>
      </c>
      <c r="C1944" s="7">
        <v>1980</v>
      </c>
      <c r="D1944" s="8" t="s">
        <v>11191</v>
      </c>
      <c r="E1944" s="8" t="s">
        <v>11192</v>
      </c>
      <c r="F1944" s="8" t="s">
        <v>11193</v>
      </c>
      <c r="G1944" s="6" t="s">
        <v>81</v>
      </c>
      <c r="H1944" s="6" t="s">
        <v>99</v>
      </c>
      <c r="I1944" s="8"/>
      <c r="J1944" s="9">
        <v>1</v>
      </c>
      <c r="K1944" s="9">
        <v>328</v>
      </c>
      <c r="L1944" s="9">
        <v>2025</v>
      </c>
      <c r="M1944" s="8" t="s">
        <v>11194</v>
      </c>
      <c r="N1944" s="8" t="s">
        <v>42</v>
      </c>
      <c r="O1944" s="8" t="s">
        <v>101</v>
      </c>
      <c r="P1944" s="6" t="s">
        <v>44</v>
      </c>
      <c r="Q1944" s="8" t="s">
        <v>45</v>
      </c>
      <c r="R1944" s="10" t="s">
        <v>5789</v>
      </c>
      <c r="S1944" s="11"/>
      <c r="T1944" s="6"/>
      <c r="U1944" s="24" t="str">
        <f>HYPERLINK("https://media.infra-m.ru/2178/2178267/cover/2178267.jpg", "Обложка")</f>
        <v>Обложка</v>
      </c>
      <c r="V1944" s="24" t="str">
        <f>HYPERLINK("https://znanium.ru/catalog/product/2178267", "Ознакомиться")</f>
        <v>Ознакомиться</v>
      </c>
      <c r="W1944" s="8" t="s">
        <v>103</v>
      </c>
      <c r="X1944" s="6"/>
      <c r="Y1944" s="6"/>
      <c r="Z1944" s="6"/>
      <c r="AA1944" s="6" t="s">
        <v>119</v>
      </c>
      <c r="AB1944" s="8"/>
    </row>
    <row r="1945" spans="1:28" s="4" customFormat="1" ht="44.1" customHeight="1">
      <c r="A1945" s="5">
        <v>0</v>
      </c>
      <c r="B1945" s="6" t="s">
        <v>11195</v>
      </c>
      <c r="C1945" s="7">
        <v>1392</v>
      </c>
      <c r="D1945" s="8" t="s">
        <v>11196</v>
      </c>
      <c r="E1945" s="8" t="s">
        <v>11197</v>
      </c>
      <c r="F1945" s="8" t="s">
        <v>11198</v>
      </c>
      <c r="G1945" s="6" t="s">
        <v>38</v>
      </c>
      <c r="H1945" s="6" t="s">
        <v>39</v>
      </c>
      <c r="I1945" s="8" t="s">
        <v>40</v>
      </c>
      <c r="J1945" s="9">
        <v>1</v>
      </c>
      <c r="K1945" s="9">
        <v>231</v>
      </c>
      <c r="L1945" s="9">
        <v>2025</v>
      </c>
      <c r="M1945" s="8" t="s">
        <v>11199</v>
      </c>
      <c r="N1945" s="8" t="s">
        <v>229</v>
      </c>
      <c r="O1945" s="8" t="s">
        <v>230</v>
      </c>
      <c r="P1945" s="6" t="s">
        <v>44</v>
      </c>
      <c r="Q1945" s="8" t="s">
        <v>45</v>
      </c>
      <c r="R1945" s="10" t="s">
        <v>11200</v>
      </c>
      <c r="S1945" s="11"/>
      <c r="T1945" s="6"/>
      <c r="U1945" s="24" t="str">
        <f>HYPERLINK("https://media.infra-m.ru/2179/2179086/cover/2179086.jpg", "Обложка")</f>
        <v>Обложка</v>
      </c>
      <c r="V1945" s="24" t="str">
        <f>HYPERLINK("https://znanium.ru/catalog/product/2179086", "Ознакомиться")</f>
        <v>Ознакомиться</v>
      </c>
      <c r="W1945" s="8" t="s">
        <v>11201</v>
      </c>
      <c r="X1945" s="6"/>
      <c r="Y1945" s="6"/>
      <c r="Z1945" s="6"/>
      <c r="AA1945" s="6" t="s">
        <v>111</v>
      </c>
      <c r="AB1945" s="8"/>
    </row>
    <row r="1946" spans="1:28" s="4" customFormat="1" ht="51.95" customHeight="1">
      <c r="A1946" s="5">
        <v>0</v>
      </c>
      <c r="B1946" s="6" t="s">
        <v>11202</v>
      </c>
      <c r="C1946" s="7">
        <v>1500</v>
      </c>
      <c r="D1946" s="8" t="s">
        <v>11203</v>
      </c>
      <c r="E1946" s="8" t="s">
        <v>11204</v>
      </c>
      <c r="F1946" s="8" t="s">
        <v>11205</v>
      </c>
      <c r="G1946" s="6" t="s">
        <v>38</v>
      </c>
      <c r="H1946" s="6" t="s">
        <v>39</v>
      </c>
      <c r="I1946" s="8" t="s">
        <v>40</v>
      </c>
      <c r="J1946" s="9">
        <v>1</v>
      </c>
      <c r="K1946" s="9">
        <v>227</v>
      </c>
      <c r="L1946" s="9">
        <v>2026</v>
      </c>
      <c r="M1946" s="8" t="s">
        <v>11206</v>
      </c>
      <c r="N1946" s="8" t="s">
        <v>42</v>
      </c>
      <c r="O1946" s="8" t="s">
        <v>1002</v>
      </c>
      <c r="P1946" s="6" t="s">
        <v>44</v>
      </c>
      <c r="Q1946" s="8" t="s">
        <v>45</v>
      </c>
      <c r="R1946" s="10" t="s">
        <v>11207</v>
      </c>
      <c r="S1946" s="11"/>
      <c r="T1946" s="6"/>
      <c r="U1946" s="24" t="str">
        <f>HYPERLINK("https://media.infra-m.ru/2226/2226513/cover/2226513.jpg", "Обложка")</f>
        <v>Обложка</v>
      </c>
      <c r="V1946" s="24" t="str">
        <f>HYPERLINK("https://znanium.ru/catalog/product/2226513", "Ознакомиться")</f>
        <v>Ознакомиться</v>
      </c>
      <c r="W1946" s="8" t="s">
        <v>11208</v>
      </c>
      <c r="X1946" s="6"/>
      <c r="Y1946" s="6"/>
      <c r="Z1946" s="6"/>
      <c r="AA1946" s="6" t="s">
        <v>76</v>
      </c>
      <c r="AB1946" s="8"/>
    </row>
    <row r="1947" spans="1:28" s="4" customFormat="1" ht="51.95" customHeight="1">
      <c r="A1947" s="5">
        <v>0</v>
      </c>
      <c r="B1947" s="6" t="s">
        <v>11209</v>
      </c>
      <c r="C1947" s="7">
        <v>1576.8</v>
      </c>
      <c r="D1947" s="8" t="s">
        <v>11210</v>
      </c>
      <c r="E1947" s="8" t="s">
        <v>11211</v>
      </c>
      <c r="F1947" s="8" t="s">
        <v>11212</v>
      </c>
      <c r="G1947" s="6" t="s">
        <v>81</v>
      </c>
      <c r="H1947" s="6" t="s">
        <v>39</v>
      </c>
      <c r="I1947" s="8" t="s">
        <v>828</v>
      </c>
      <c r="J1947" s="9">
        <v>1</v>
      </c>
      <c r="K1947" s="9">
        <v>239</v>
      </c>
      <c r="L1947" s="9">
        <v>2026</v>
      </c>
      <c r="M1947" s="8" t="s">
        <v>11213</v>
      </c>
      <c r="N1947" s="8" t="s">
        <v>42</v>
      </c>
      <c r="O1947" s="8" t="s">
        <v>1035</v>
      </c>
      <c r="P1947" s="6" t="s">
        <v>659</v>
      </c>
      <c r="Q1947" s="8" t="s">
        <v>45</v>
      </c>
      <c r="R1947" s="10" t="s">
        <v>11214</v>
      </c>
      <c r="S1947" s="11"/>
      <c r="T1947" s="6"/>
      <c r="U1947" s="24" t="str">
        <f>HYPERLINK("https://media.infra-m.ru/2231/2231243/cover/2231243.jpg", "Обложка")</f>
        <v>Обложка</v>
      </c>
      <c r="V1947" s="24" t="str">
        <f>HYPERLINK("https://znanium.ru/catalog/product/1167070", "Ознакомиться")</f>
        <v>Ознакомиться</v>
      </c>
      <c r="W1947" s="8" t="s">
        <v>2391</v>
      </c>
      <c r="X1947" s="6"/>
      <c r="Y1947" s="6"/>
      <c r="Z1947" s="6"/>
      <c r="AA1947" s="6" t="s">
        <v>168</v>
      </c>
      <c r="AB1947" s="8"/>
    </row>
    <row r="1948" spans="1:28" s="4" customFormat="1" ht="51.95" customHeight="1">
      <c r="A1948" s="5">
        <v>0</v>
      </c>
      <c r="B1948" s="6" t="s">
        <v>11215</v>
      </c>
      <c r="C1948" s="13">
        <v>420</v>
      </c>
      <c r="D1948" s="8" t="s">
        <v>11216</v>
      </c>
      <c r="E1948" s="8" t="s">
        <v>11217</v>
      </c>
      <c r="F1948" s="8" t="s">
        <v>11218</v>
      </c>
      <c r="G1948" s="6" t="s">
        <v>38</v>
      </c>
      <c r="H1948" s="6" t="s">
        <v>182</v>
      </c>
      <c r="I1948" s="8" t="s">
        <v>40</v>
      </c>
      <c r="J1948" s="9">
        <v>1</v>
      </c>
      <c r="K1948" s="9">
        <v>137</v>
      </c>
      <c r="L1948" s="9">
        <v>2017</v>
      </c>
      <c r="M1948" s="8" t="s">
        <v>11219</v>
      </c>
      <c r="N1948" s="8" t="s">
        <v>42</v>
      </c>
      <c r="O1948" s="8" t="s">
        <v>246</v>
      </c>
      <c r="P1948" s="6" t="s">
        <v>44</v>
      </c>
      <c r="Q1948" s="8" t="s">
        <v>1152</v>
      </c>
      <c r="R1948" s="10" t="s">
        <v>11220</v>
      </c>
      <c r="S1948" s="11"/>
      <c r="T1948" s="6"/>
      <c r="U1948" s="24" t="str">
        <f>HYPERLINK("https://media.infra-m.ru/0557/0557168/cover/557168.jpg", "Обложка")</f>
        <v>Обложка</v>
      </c>
      <c r="V1948" s="24" t="str">
        <f>HYPERLINK("https://znanium.ru/catalog/product/1854964", "Ознакомиться")</f>
        <v>Ознакомиться</v>
      </c>
      <c r="W1948" s="8" t="s">
        <v>167</v>
      </c>
      <c r="X1948" s="6"/>
      <c r="Y1948" s="6"/>
      <c r="Z1948" s="6"/>
      <c r="AA1948" s="6" t="s">
        <v>377</v>
      </c>
      <c r="AB1948" s="8"/>
    </row>
    <row r="1949" spans="1:28" s="4" customFormat="1" ht="51.95" customHeight="1">
      <c r="A1949" s="5">
        <v>0</v>
      </c>
      <c r="B1949" s="6" t="s">
        <v>11221</v>
      </c>
      <c r="C1949" s="13">
        <v>708</v>
      </c>
      <c r="D1949" s="8" t="s">
        <v>11222</v>
      </c>
      <c r="E1949" s="8" t="s">
        <v>11223</v>
      </c>
      <c r="F1949" s="8" t="s">
        <v>11218</v>
      </c>
      <c r="G1949" s="6" t="s">
        <v>38</v>
      </c>
      <c r="H1949" s="6" t="s">
        <v>182</v>
      </c>
      <c r="I1949" s="8"/>
      <c r="J1949" s="9">
        <v>1</v>
      </c>
      <c r="K1949" s="9">
        <v>145</v>
      </c>
      <c r="L1949" s="9">
        <v>2022</v>
      </c>
      <c r="M1949" s="8" t="s">
        <v>11224</v>
      </c>
      <c r="N1949" s="8" t="s">
        <v>42</v>
      </c>
      <c r="O1949" s="8" t="s">
        <v>246</v>
      </c>
      <c r="P1949" s="6" t="s">
        <v>44</v>
      </c>
      <c r="Q1949" s="8" t="s">
        <v>45</v>
      </c>
      <c r="R1949" s="10" t="s">
        <v>11220</v>
      </c>
      <c r="S1949" s="11"/>
      <c r="T1949" s="6"/>
      <c r="U1949" s="24" t="str">
        <f>HYPERLINK("https://media.infra-m.ru/1854/1854964/cover/1854964.jpg", "Обложка")</f>
        <v>Обложка</v>
      </c>
      <c r="V1949" s="24" t="str">
        <f>HYPERLINK("https://znanium.ru/catalog/product/1854964", "Ознакомиться")</f>
        <v>Ознакомиться</v>
      </c>
      <c r="W1949" s="8" t="s">
        <v>167</v>
      </c>
      <c r="X1949" s="6"/>
      <c r="Y1949" s="6"/>
      <c r="Z1949" s="6"/>
      <c r="AA1949" s="6" t="s">
        <v>1494</v>
      </c>
      <c r="AB1949" s="8"/>
    </row>
    <row r="1950" spans="1:28" s="4" customFormat="1" ht="42" customHeight="1">
      <c r="A1950" s="5">
        <v>0</v>
      </c>
      <c r="B1950" s="6" t="s">
        <v>11225</v>
      </c>
      <c r="C1950" s="7">
        <v>1092</v>
      </c>
      <c r="D1950" s="8" t="s">
        <v>11226</v>
      </c>
      <c r="E1950" s="8" t="s">
        <v>11227</v>
      </c>
      <c r="F1950" s="8" t="s">
        <v>11228</v>
      </c>
      <c r="G1950" s="6" t="s">
        <v>81</v>
      </c>
      <c r="H1950" s="6" t="s">
        <v>39</v>
      </c>
      <c r="I1950" s="8" t="s">
        <v>344</v>
      </c>
      <c r="J1950" s="9">
        <v>1</v>
      </c>
      <c r="K1950" s="9">
        <v>237</v>
      </c>
      <c r="L1950" s="9">
        <v>2021</v>
      </c>
      <c r="M1950" s="8" t="s">
        <v>11229</v>
      </c>
      <c r="N1950" s="8" t="s">
        <v>54</v>
      </c>
      <c r="O1950" s="8" t="s">
        <v>55</v>
      </c>
      <c r="P1950" s="6" t="s">
        <v>44</v>
      </c>
      <c r="Q1950" s="8" t="s">
        <v>45</v>
      </c>
      <c r="R1950" s="10" t="s">
        <v>5355</v>
      </c>
      <c r="S1950" s="11"/>
      <c r="T1950" s="6"/>
      <c r="U1950" s="24" t="str">
        <f>HYPERLINK("https://media.infra-m.ru/1403/1403222/cover/1403222.jpg", "Обложка")</f>
        <v>Обложка</v>
      </c>
      <c r="V1950" s="12"/>
      <c r="W1950" s="8" t="s">
        <v>2138</v>
      </c>
      <c r="X1950" s="6"/>
      <c r="Y1950" s="6"/>
      <c r="Z1950" s="6"/>
      <c r="AA1950" s="6" t="s">
        <v>68</v>
      </c>
      <c r="AB1950" s="8"/>
    </row>
    <row r="1951" spans="1:28" s="4" customFormat="1" ht="51.95" customHeight="1">
      <c r="A1951" s="5">
        <v>0</v>
      </c>
      <c r="B1951" s="6" t="s">
        <v>11230</v>
      </c>
      <c r="C1951" s="7">
        <v>2280</v>
      </c>
      <c r="D1951" s="8" t="s">
        <v>11231</v>
      </c>
      <c r="E1951" s="8" t="s">
        <v>11232</v>
      </c>
      <c r="F1951" s="8" t="s">
        <v>11233</v>
      </c>
      <c r="G1951" s="6" t="s">
        <v>132</v>
      </c>
      <c r="H1951" s="6" t="s">
        <v>39</v>
      </c>
      <c r="I1951" s="8" t="s">
        <v>40</v>
      </c>
      <c r="J1951" s="9">
        <v>1</v>
      </c>
      <c r="K1951" s="9">
        <v>424</v>
      </c>
      <c r="L1951" s="9">
        <v>2022</v>
      </c>
      <c r="M1951" s="8" t="s">
        <v>11234</v>
      </c>
      <c r="N1951" s="8" t="s">
        <v>42</v>
      </c>
      <c r="O1951" s="8" t="s">
        <v>189</v>
      </c>
      <c r="P1951" s="6" t="s">
        <v>44</v>
      </c>
      <c r="Q1951" s="8" t="s">
        <v>45</v>
      </c>
      <c r="R1951" s="10" t="s">
        <v>11235</v>
      </c>
      <c r="S1951" s="11"/>
      <c r="T1951" s="6"/>
      <c r="U1951" s="24" t="str">
        <f>HYPERLINK("https://media.infra-m.ru/1891/1891029/cover/1891029.jpg", "Обложка")</f>
        <v>Обложка</v>
      </c>
      <c r="V1951" s="24" t="str">
        <f>HYPERLINK("https://znanium.ru/catalog/product/1891029", "Ознакомиться")</f>
        <v>Ознакомиться</v>
      </c>
      <c r="W1951" s="8" t="s">
        <v>346</v>
      </c>
      <c r="X1951" s="6"/>
      <c r="Y1951" s="6"/>
      <c r="Z1951" s="6"/>
      <c r="AA1951" s="6" t="s">
        <v>111</v>
      </c>
      <c r="AB1951" s="8"/>
    </row>
    <row r="1952" spans="1:28" s="4" customFormat="1" ht="51.95" customHeight="1">
      <c r="A1952" s="5">
        <v>0</v>
      </c>
      <c r="B1952" s="6" t="s">
        <v>11236</v>
      </c>
      <c r="C1952" s="7">
        <v>1308</v>
      </c>
      <c r="D1952" s="8" t="s">
        <v>11237</v>
      </c>
      <c r="E1952" s="8" t="s">
        <v>11238</v>
      </c>
      <c r="F1952" s="8" t="s">
        <v>11239</v>
      </c>
      <c r="G1952" s="6" t="s">
        <v>132</v>
      </c>
      <c r="H1952" s="6" t="s">
        <v>39</v>
      </c>
      <c r="I1952" s="8" t="s">
        <v>40</v>
      </c>
      <c r="J1952" s="9">
        <v>1</v>
      </c>
      <c r="K1952" s="9">
        <v>222</v>
      </c>
      <c r="L1952" s="9">
        <v>2024</v>
      </c>
      <c r="M1952" s="8" t="s">
        <v>11240</v>
      </c>
      <c r="N1952" s="8" t="s">
        <v>42</v>
      </c>
      <c r="O1952" s="8" t="s">
        <v>189</v>
      </c>
      <c r="P1952" s="6" t="s">
        <v>44</v>
      </c>
      <c r="Q1952" s="8" t="s">
        <v>45</v>
      </c>
      <c r="R1952" s="10" t="s">
        <v>11241</v>
      </c>
      <c r="S1952" s="11"/>
      <c r="T1952" s="6"/>
      <c r="U1952" s="24" t="str">
        <f>HYPERLINK("https://media.infra-m.ru/2092/2092323/cover/2092323.jpg", "Обложка")</f>
        <v>Обложка</v>
      </c>
      <c r="V1952" s="24" t="str">
        <f>HYPERLINK("https://znanium.ru/catalog/product/2092323", "Ознакомиться")</f>
        <v>Ознакомиться</v>
      </c>
      <c r="W1952" s="8" t="s">
        <v>346</v>
      </c>
      <c r="X1952" s="6"/>
      <c r="Y1952" s="6"/>
      <c r="Z1952" s="6"/>
      <c r="AA1952" s="6" t="s">
        <v>58</v>
      </c>
      <c r="AB1952" s="8"/>
    </row>
    <row r="1953" spans="1:28" s="4" customFormat="1" ht="42" customHeight="1">
      <c r="A1953" s="5">
        <v>0</v>
      </c>
      <c r="B1953" s="6" t="s">
        <v>11242</v>
      </c>
      <c r="C1953" s="7">
        <v>1248</v>
      </c>
      <c r="D1953" s="8" t="s">
        <v>11243</v>
      </c>
      <c r="E1953" s="8" t="s">
        <v>11244</v>
      </c>
      <c r="F1953" s="8" t="s">
        <v>11245</v>
      </c>
      <c r="G1953" s="6" t="s">
        <v>38</v>
      </c>
      <c r="H1953" s="6" t="s">
        <v>39</v>
      </c>
      <c r="I1953" s="8" t="s">
        <v>40</v>
      </c>
      <c r="J1953" s="9">
        <v>1</v>
      </c>
      <c r="K1953" s="9">
        <v>216</v>
      </c>
      <c r="L1953" s="9">
        <v>2024</v>
      </c>
      <c r="M1953" s="8" t="s">
        <v>11246</v>
      </c>
      <c r="N1953" s="8" t="s">
        <v>284</v>
      </c>
      <c r="O1953" s="8" t="s">
        <v>482</v>
      </c>
      <c r="P1953" s="6" t="s">
        <v>44</v>
      </c>
      <c r="Q1953" s="8" t="s">
        <v>45</v>
      </c>
      <c r="R1953" s="10" t="s">
        <v>11247</v>
      </c>
      <c r="S1953" s="11"/>
      <c r="T1953" s="6"/>
      <c r="U1953" s="24" t="str">
        <f>HYPERLINK("https://media.infra-m.ru/2061/2061201/cover/2061201.jpg", "Обложка")</f>
        <v>Обложка</v>
      </c>
      <c r="V1953" s="24" t="str">
        <f>HYPERLINK("https://znanium.ru/catalog/product/2061201", "Ознакомиться")</f>
        <v>Ознакомиться</v>
      </c>
      <c r="W1953" s="8" t="s">
        <v>10437</v>
      </c>
      <c r="X1953" s="6"/>
      <c r="Y1953" s="6"/>
      <c r="Z1953" s="6"/>
      <c r="AA1953" s="6" t="s">
        <v>58</v>
      </c>
      <c r="AB1953" s="8" t="s">
        <v>634</v>
      </c>
    </row>
    <row r="1954" spans="1:28" s="4" customFormat="1" ht="42" customHeight="1">
      <c r="A1954" s="5">
        <v>0</v>
      </c>
      <c r="B1954" s="6" t="s">
        <v>11248</v>
      </c>
      <c r="C1954" s="13">
        <v>636</v>
      </c>
      <c r="D1954" s="8" t="s">
        <v>11249</v>
      </c>
      <c r="E1954" s="8" t="s">
        <v>11250</v>
      </c>
      <c r="F1954" s="8" t="s">
        <v>11251</v>
      </c>
      <c r="G1954" s="6" t="s">
        <v>38</v>
      </c>
      <c r="H1954" s="6" t="s">
        <v>99</v>
      </c>
      <c r="I1954" s="8"/>
      <c r="J1954" s="9">
        <v>1</v>
      </c>
      <c r="K1954" s="9">
        <v>96</v>
      </c>
      <c r="L1954" s="9">
        <v>2025</v>
      </c>
      <c r="M1954" s="8" t="s">
        <v>11252</v>
      </c>
      <c r="N1954" s="8" t="s">
        <v>42</v>
      </c>
      <c r="O1954" s="8" t="s">
        <v>101</v>
      </c>
      <c r="P1954" s="6" t="s">
        <v>44</v>
      </c>
      <c r="Q1954" s="8" t="s">
        <v>45</v>
      </c>
      <c r="R1954" s="10" t="s">
        <v>600</v>
      </c>
      <c r="S1954" s="11"/>
      <c r="T1954" s="6"/>
      <c r="U1954" s="24" t="str">
        <f>HYPERLINK("https://media.infra-m.ru/2206/2206902/cover/2206902.jpg", "Обложка")</f>
        <v>Обложка</v>
      </c>
      <c r="V1954" s="24" t="str">
        <f>HYPERLINK("https://znanium.ru/catalog/product/2206902", "Ознакомиться")</f>
        <v>Ознакомиться</v>
      </c>
      <c r="W1954" s="8" t="s">
        <v>565</v>
      </c>
      <c r="X1954" s="6"/>
      <c r="Y1954" s="6"/>
      <c r="Z1954" s="6"/>
      <c r="AA1954" s="6" t="s">
        <v>369</v>
      </c>
      <c r="AB1954" s="8"/>
    </row>
    <row r="1955" spans="1:28" s="4" customFormat="1" ht="42" customHeight="1">
      <c r="A1955" s="5">
        <v>0</v>
      </c>
      <c r="B1955" s="6" t="s">
        <v>11253</v>
      </c>
      <c r="C1955" s="7">
        <v>1891.2</v>
      </c>
      <c r="D1955" s="8" t="s">
        <v>11254</v>
      </c>
      <c r="E1955" s="8" t="s">
        <v>11255</v>
      </c>
      <c r="F1955" s="8" t="s">
        <v>11256</v>
      </c>
      <c r="G1955" s="6" t="s">
        <v>81</v>
      </c>
      <c r="H1955" s="6" t="s">
        <v>99</v>
      </c>
      <c r="I1955" s="8"/>
      <c r="J1955" s="9">
        <v>1</v>
      </c>
      <c r="K1955" s="9">
        <v>256</v>
      </c>
      <c r="L1955" s="9">
        <v>2026</v>
      </c>
      <c r="M1955" s="8" t="s">
        <v>11257</v>
      </c>
      <c r="N1955" s="8" t="s">
        <v>42</v>
      </c>
      <c r="O1955" s="8" t="s">
        <v>101</v>
      </c>
      <c r="P1955" s="6" t="s">
        <v>44</v>
      </c>
      <c r="Q1955" s="8" t="s">
        <v>45</v>
      </c>
      <c r="R1955" s="10" t="s">
        <v>269</v>
      </c>
      <c r="S1955" s="11"/>
      <c r="T1955" s="6"/>
      <c r="U1955" s="24" t="str">
        <f>HYPERLINK("https://media.infra-m.ru/2188/2188133/cover/2188133.jpg", "Обложка")</f>
        <v>Обложка</v>
      </c>
      <c r="V1955" s="24" t="str">
        <f>HYPERLINK("https://znanium.ru/catalog/product/1896819", "Ознакомиться")</f>
        <v>Ознакомиться</v>
      </c>
      <c r="W1955" s="8"/>
      <c r="X1955" s="6"/>
      <c r="Y1955" s="6"/>
      <c r="Z1955" s="6"/>
      <c r="AA1955" s="6" t="s">
        <v>111</v>
      </c>
      <c r="AB1955" s="8"/>
    </row>
    <row r="1956" spans="1:28" s="4" customFormat="1" ht="42" customHeight="1">
      <c r="A1956" s="5">
        <v>0</v>
      </c>
      <c r="B1956" s="6" t="s">
        <v>11258</v>
      </c>
      <c r="C1956" s="7">
        <v>1583.9</v>
      </c>
      <c r="D1956" s="8" t="s">
        <v>11259</v>
      </c>
      <c r="E1956" s="8" t="s">
        <v>11260</v>
      </c>
      <c r="F1956" s="8" t="s">
        <v>11261</v>
      </c>
      <c r="G1956" s="6" t="s">
        <v>132</v>
      </c>
      <c r="H1956" s="6" t="s">
        <v>571</v>
      </c>
      <c r="I1956" s="8"/>
      <c r="J1956" s="9">
        <v>1</v>
      </c>
      <c r="K1956" s="9">
        <v>336</v>
      </c>
      <c r="L1956" s="9">
        <v>2019</v>
      </c>
      <c r="M1956" s="8" t="s">
        <v>11262</v>
      </c>
      <c r="N1956" s="8" t="s">
        <v>42</v>
      </c>
      <c r="O1956" s="8" t="s">
        <v>189</v>
      </c>
      <c r="P1956" s="6" t="s">
        <v>44</v>
      </c>
      <c r="Q1956" s="8" t="s">
        <v>45</v>
      </c>
      <c r="R1956" s="10" t="s">
        <v>3954</v>
      </c>
      <c r="S1956" s="11"/>
      <c r="T1956" s="6"/>
      <c r="U1956" s="24" t="str">
        <f>HYPERLINK("https://media.infra-m.ru/1064/1064966/cover/1064966.jpg", "Обложка")</f>
        <v>Обложка</v>
      </c>
      <c r="V1956" s="24" t="str">
        <f>HYPERLINK("https://znanium.ru/catalog/product/1063562", "Ознакомиться")</f>
        <v>Ознакомиться</v>
      </c>
      <c r="W1956" s="8" t="s">
        <v>574</v>
      </c>
      <c r="X1956" s="6"/>
      <c r="Y1956" s="6"/>
      <c r="Z1956" s="6"/>
      <c r="AA1956" s="6" t="s">
        <v>76</v>
      </c>
      <c r="AB1956" s="8"/>
    </row>
    <row r="1957" spans="1:28" s="4" customFormat="1" ht="42" customHeight="1">
      <c r="A1957" s="5">
        <v>0</v>
      </c>
      <c r="B1957" s="6" t="s">
        <v>11263</v>
      </c>
      <c r="C1957" s="7">
        <v>1216.8</v>
      </c>
      <c r="D1957" s="8" t="s">
        <v>11264</v>
      </c>
      <c r="E1957" s="8" t="s">
        <v>11265</v>
      </c>
      <c r="F1957" s="8" t="s">
        <v>11266</v>
      </c>
      <c r="G1957" s="6" t="s">
        <v>81</v>
      </c>
      <c r="H1957" s="6" t="s">
        <v>99</v>
      </c>
      <c r="I1957" s="8"/>
      <c r="J1957" s="9">
        <v>1</v>
      </c>
      <c r="K1957" s="9">
        <v>216</v>
      </c>
      <c r="L1957" s="9">
        <v>2024</v>
      </c>
      <c r="M1957" s="8" t="s">
        <v>11267</v>
      </c>
      <c r="N1957" s="8" t="s">
        <v>42</v>
      </c>
      <c r="O1957" s="8" t="s">
        <v>101</v>
      </c>
      <c r="P1957" s="6" t="s">
        <v>44</v>
      </c>
      <c r="Q1957" s="8" t="s">
        <v>45</v>
      </c>
      <c r="R1957" s="10" t="s">
        <v>600</v>
      </c>
      <c r="S1957" s="11"/>
      <c r="T1957" s="6"/>
      <c r="U1957" s="24" t="str">
        <f>HYPERLINK("https://media.infra-m.ru/2121/2121168/cover/2121168.jpg", "Обложка")</f>
        <v>Обложка</v>
      </c>
      <c r="V1957" s="24" t="str">
        <f>HYPERLINK("https://znanium.ru/catalog/product/1864432", "Ознакомиться")</f>
        <v>Ознакомиться</v>
      </c>
      <c r="W1957" s="8" t="s">
        <v>2281</v>
      </c>
      <c r="X1957" s="6"/>
      <c r="Y1957" s="6"/>
      <c r="Z1957" s="6"/>
      <c r="AA1957" s="6" t="s">
        <v>168</v>
      </c>
      <c r="AB1957" s="8"/>
    </row>
    <row r="1958" spans="1:28" s="4" customFormat="1" ht="42" customHeight="1">
      <c r="A1958" s="5">
        <v>0</v>
      </c>
      <c r="B1958" s="6" t="s">
        <v>11268</v>
      </c>
      <c r="C1958" s="13">
        <v>725.9</v>
      </c>
      <c r="D1958" s="8" t="s">
        <v>11269</v>
      </c>
      <c r="E1958" s="8" t="s">
        <v>11270</v>
      </c>
      <c r="F1958" s="8" t="s">
        <v>11271</v>
      </c>
      <c r="G1958" s="6" t="s">
        <v>38</v>
      </c>
      <c r="H1958" s="6" t="s">
        <v>182</v>
      </c>
      <c r="I1958" s="8" t="s">
        <v>40</v>
      </c>
      <c r="J1958" s="9">
        <v>1</v>
      </c>
      <c r="K1958" s="9">
        <v>156</v>
      </c>
      <c r="L1958" s="9">
        <v>2022</v>
      </c>
      <c r="M1958" s="8" t="s">
        <v>11272</v>
      </c>
      <c r="N1958" s="8" t="s">
        <v>42</v>
      </c>
      <c r="O1958" s="8" t="s">
        <v>189</v>
      </c>
      <c r="P1958" s="6" t="s">
        <v>44</v>
      </c>
      <c r="Q1958" s="8" t="s">
        <v>45</v>
      </c>
      <c r="R1958" s="10" t="s">
        <v>8084</v>
      </c>
      <c r="S1958" s="11"/>
      <c r="T1958" s="6"/>
      <c r="U1958" s="24" t="str">
        <f>HYPERLINK("https://media.infra-m.ru/1852/1852186/cover/1852186.jpg", "Обложка")</f>
        <v>Обложка</v>
      </c>
      <c r="V1958" s="24" t="str">
        <f>HYPERLINK("https://znanium.ru/catalog/product/1009060", "Ознакомиться")</f>
        <v>Ознакомиться</v>
      </c>
      <c r="W1958" s="8"/>
      <c r="X1958" s="6"/>
      <c r="Y1958" s="6"/>
      <c r="Z1958" s="6"/>
      <c r="AA1958" s="6" t="s">
        <v>290</v>
      </c>
      <c r="AB1958" s="8"/>
    </row>
    <row r="1959" spans="1:28" s="4" customFormat="1" ht="51.95" customHeight="1">
      <c r="A1959" s="5">
        <v>0</v>
      </c>
      <c r="B1959" s="6" t="s">
        <v>11273</v>
      </c>
      <c r="C1959" s="13">
        <v>876</v>
      </c>
      <c r="D1959" s="8" t="s">
        <v>11274</v>
      </c>
      <c r="E1959" s="8" t="s">
        <v>11275</v>
      </c>
      <c r="F1959" s="8" t="s">
        <v>11276</v>
      </c>
      <c r="G1959" s="6" t="s">
        <v>38</v>
      </c>
      <c r="H1959" s="6" t="s">
        <v>39</v>
      </c>
      <c r="I1959" s="8" t="s">
        <v>40</v>
      </c>
      <c r="J1959" s="9">
        <v>1</v>
      </c>
      <c r="K1959" s="9">
        <v>176</v>
      </c>
      <c r="L1959" s="9">
        <v>2022</v>
      </c>
      <c r="M1959" s="8" t="s">
        <v>11277</v>
      </c>
      <c r="N1959" s="8" t="s">
        <v>284</v>
      </c>
      <c r="O1959" s="8" t="s">
        <v>328</v>
      </c>
      <c r="P1959" s="6" t="s">
        <v>44</v>
      </c>
      <c r="Q1959" s="8" t="s">
        <v>45</v>
      </c>
      <c r="R1959" s="10" t="s">
        <v>11278</v>
      </c>
      <c r="S1959" s="11"/>
      <c r="T1959" s="6"/>
      <c r="U1959" s="24" t="str">
        <f>HYPERLINK("https://media.infra-m.ru/1816/1816639/cover/1816639.jpg", "Обложка")</f>
        <v>Обложка</v>
      </c>
      <c r="V1959" s="24" t="str">
        <f>HYPERLINK("https://znanium.ru/catalog/product/1816639", "Ознакомиться")</f>
        <v>Ознакомиться</v>
      </c>
      <c r="W1959" s="8" t="s">
        <v>11279</v>
      </c>
      <c r="X1959" s="6"/>
      <c r="Y1959" s="6"/>
      <c r="Z1959" s="6"/>
      <c r="AA1959" s="6" t="s">
        <v>111</v>
      </c>
      <c r="AB1959" s="8"/>
    </row>
    <row r="1960" spans="1:28" s="4" customFormat="1" ht="42" customHeight="1">
      <c r="A1960" s="5">
        <v>0</v>
      </c>
      <c r="B1960" s="6" t="s">
        <v>11280</v>
      </c>
      <c r="C1960" s="7">
        <v>1420.8</v>
      </c>
      <c r="D1960" s="8" t="s">
        <v>11281</v>
      </c>
      <c r="E1960" s="8" t="s">
        <v>11282</v>
      </c>
      <c r="F1960" s="8" t="s">
        <v>11283</v>
      </c>
      <c r="G1960" s="6" t="s">
        <v>38</v>
      </c>
      <c r="H1960" s="6" t="s">
        <v>39</v>
      </c>
      <c r="I1960" s="8" t="s">
        <v>40</v>
      </c>
      <c r="J1960" s="9">
        <v>1</v>
      </c>
      <c r="K1960" s="9">
        <v>228</v>
      </c>
      <c r="L1960" s="9">
        <v>2025</v>
      </c>
      <c r="M1960" s="8" t="s">
        <v>11284</v>
      </c>
      <c r="N1960" s="8" t="s">
        <v>42</v>
      </c>
      <c r="O1960" s="8" t="s">
        <v>101</v>
      </c>
      <c r="P1960" s="6" t="s">
        <v>44</v>
      </c>
      <c r="Q1960" s="8" t="s">
        <v>45</v>
      </c>
      <c r="R1960" s="10" t="s">
        <v>564</v>
      </c>
      <c r="S1960" s="11"/>
      <c r="T1960" s="6"/>
      <c r="U1960" s="24" t="str">
        <f>HYPERLINK("https://media.infra-m.ru/2194/2194353/cover/2194353.jpg", "Обложка")</f>
        <v>Обложка</v>
      </c>
      <c r="V1960" s="24" t="str">
        <f>HYPERLINK("https://znanium.ru/catalog/product/1850675", "Ознакомиться")</f>
        <v>Ознакомиться</v>
      </c>
      <c r="W1960" s="8" t="s">
        <v>2281</v>
      </c>
      <c r="X1960" s="6"/>
      <c r="Y1960" s="6"/>
      <c r="Z1960" s="6"/>
      <c r="AA1960" s="6" t="s">
        <v>127</v>
      </c>
      <c r="AB1960" s="8"/>
    </row>
    <row r="1961" spans="1:28" s="4" customFormat="1" ht="42" customHeight="1">
      <c r="A1961" s="5">
        <v>0</v>
      </c>
      <c r="B1961" s="6" t="s">
        <v>11285</v>
      </c>
      <c r="C1961" s="7">
        <v>1020</v>
      </c>
      <c r="D1961" s="8" t="s">
        <v>11286</v>
      </c>
      <c r="E1961" s="8" t="s">
        <v>11287</v>
      </c>
      <c r="F1961" s="8" t="s">
        <v>11288</v>
      </c>
      <c r="G1961" s="6" t="s">
        <v>132</v>
      </c>
      <c r="H1961" s="6" t="s">
        <v>39</v>
      </c>
      <c r="I1961" s="8" t="s">
        <v>40</v>
      </c>
      <c r="J1961" s="9">
        <v>1</v>
      </c>
      <c r="K1961" s="9">
        <v>173</v>
      </c>
      <c r="L1961" s="9">
        <v>2023</v>
      </c>
      <c r="M1961" s="8" t="s">
        <v>11289</v>
      </c>
      <c r="N1961" s="8" t="s">
        <v>42</v>
      </c>
      <c r="O1961" s="8" t="s">
        <v>1035</v>
      </c>
      <c r="P1961" s="6" t="s">
        <v>44</v>
      </c>
      <c r="Q1961" s="8" t="s">
        <v>45</v>
      </c>
      <c r="R1961" s="10" t="s">
        <v>1426</v>
      </c>
      <c r="S1961" s="11"/>
      <c r="T1961" s="6"/>
      <c r="U1961" s="24" t="str">
        <f>HYPERLINK("https://media.infra-m.ru/2009/2009650/cover/2009650.jpg", "Обложка")</f>
        <v>Обложка</v>
      </c>
      <c r="V1961" s="24" t="str">
        <f>HYPERLINK("https://znanium.ru/catalog/product/2009650", "Ознакомиться")</f>
        <v>Ознакомиться</v>
      </c>
      <c r="W1961" s="8" t="s">
        <v>191</v>
      </c>
      <c r="X1961" s="6"/>
      <c r="Y1961" s="6"/>
      <c r="Z1961" s="6"/>
      <c r="AA1961" s="6" t="s">
        <v>119</v>
      </c>
      <c r="AB1961" s="8"/>
    </row>
    <row r="1962" spans="1:28" s="4" customFormat="1" ht="42" customHeight="1">
      <c r="A1962" s="5">
        <v>0</v>
      </c>
      <c r="B1962" s="6" t="s">
        <v>11290</v>
      </c>
      <c r="C1962" s="7">
        <v>2980.8</v>
      </c>
      <c r="D1962" s="8" t="s">
        <v>11291</v>
      </c>
      <c r="E1962" s="8" t="s">
        <v>11292</v>
      </c>
      <c r="F1962" s="8" t="s">
        <v>11293</v>
      </c>
      <c r="G1962" s="6" t="s">
        <v>132</v>
      </c>
      <c r="H1962" s="6" t="s">
        <v>99</v>
      </c>
      <c r="I1962" s="8"/>
      <c r="J1962" s="9">
        <v>1</v>
      </c>
      <c r="K1962" s="9">
        <v>496</v>
      </c>
      <c r="L1962" s="9">
        <v>2025</v>
      </c>
      <c r="M1962" s="8" t="s">
        <v>11294</v>
      </c>
      <c r="N1962" s="8" t="s">
        <v>42</v>
      </c>
      <c r="O1962" s="8" t="s">
        <v>101</v>
      </c>
      <c r="P1962" s="6" t="s">
        <v>44</v>
      </c>
      <c r="Q1962" s="8" t="s">
        <v>45</v>
      </c>
      <c r="R1962" s="10" t="s">
        <v>564</v>
      </c>
      <c r="S1962" s="11"/>
      <c r="T1962" s="6"/>
      <c r="U1962" s="24" t="str">
        <f>HYPERLINK("https://media.infra-m.ru/2192/2192426/cover/2192426.jpg", "Обложка")</f>
        <v>Обложка</v>
      </c>
      <c r="V1962" s="24" t="str">
        <f>HYPERLINK("https://znanium.ru/catalog/product/1002086", "Ознакомиться")</f>
        <v>Ознакомиться</v>
      </c>
      <c r="W1962" s="8" t="s">
        <v>4826</v>
      </c>
      <c r="X1962" s="6"/>
      <c r="Y1962" s="6"/>
      <c r="Z1962" s="6"/>
      <c r="AA1962" s="6" t="s">
        <v>1050</v>
      </c>
      <c r="AB1962" s="8"/>
    </row>
    <row r="1963" spans="1:28" s="4" customFormat="1" ht="42" customHeight="1">
      <c r="A1963" s="5">
        <v>0</v>
      </c>
      <c r="B1963" s="6" t="s">
        <v>11295</v>
      </c>
      <c r="C1963" s="7">
        <v>1744.8</v>
      </c>
      <c r="D1963" s="8" t="s">
        <v>11296</v>
      </c>
      <c r="E1963" s="8" t="s">
        <v>11297</v>
      </c>
      <c r="F1963" s="8" t="s">
        <v>11298</v>
      </c>
      <c r="G1963" s="6" t="s">
        <v>132</v>
      </c>
      <c r="H1963" s="6" t="s">
        <v>39</v>
      </c>
      <c r="I1963" s="8" t="s">
        <v>40</v>
      </c>
      <c r="J1963" s="9">
        <v>1</v>
      </c>
      <c r="K1963" s="9">
        <v>280</v>
      </c>
      <c r="L1963" s="9">
        <v>2026</v>
      </c>
      <c r="M1963" s="8" t="s">
        <v>11299</v>
      </c>
      <c r="N1963" s="8" t="s">
        <v>229</v>
      </c>
      <c r="O1963" s="8" t="s">
        <v>230</v>
      </c>
      <c r="P1963" s="6" t="s">
        <v>44</v>
      </c>
      <c r="Q1963" s="8" t="s">
        <v>45</v>
      </c>
      <c r="R1963" s="10" t="s">
        <v>8084</v>
      </c>
      <c r="S1963" s="11"/>
      <c r="T1963" s="6"/>
      <c r="U1963" s="24" t="str">
        <f>HYPERLINK("https://media.infra-m.ru/2213/2213281/cover/2213281.jpg", "Обложка")</f>
        <v>Обложка</v>
      </c>
      <c r="V1963" s="24" t="str">
        <f>HYPERLINK("https://znanium.ru/catalog/product/2094495", "Ознакомиться")</f>
        <v>Ознакомиться</v>
      </c>
      <c r="W1963" s="8"/>
      <c r="X1963" s="6"/>
      <c r="Y1963" s="6"/>
      <c r="Z1963" s="6"/>
      <c r="AA1963" s="6" t="s">
        <v>127</v>
      </c>
      <c r="AB1963" s="8"/>
    </row>
    <row r="1964" spans="1:28" s="4" customFormat="1" ht="44.1" customHeight="1">
      <c r="A1964" s="5">
        <v>0</v>
      </c>
      <c r="B1964" s="6" t="s">
        <v>11300</v>
      </c>
      <c r="C1964" s="13">
        <v>952.8</v>
      </c>
      <c r="D1964" s="8" t="s">
        <v>11301</v>
      </c>
      <c r="E1964" s="8" t="s">
        <v>11302</v>
      </c>
      <c r="F1964" s="8" t="s">
        <v>11303</v>
      </c>
      <c r="G1964" s="6" t="s">
        <v>132</v>
      </c>
      <c r="H1964" s="6" t="s">
        <v>99</v>
      </c>
      <c r="I1964" s="8"/>
      <c r="J1964" s="9">
        <v>1</v>
      </c>
      <c r="K1964" s="9">
        <v>152</v>
      </c>
      <c r="L1964" s="9">
        <v>2026</v>
      </c>
      <c r="M1964" s="8" t="s">
        <v>11304</v>
      </c>
      <c r="N1964" s="8" t="s">
        <v>42</v>
      </c>
      <c r="O1964" s="8" t="s">
        <v>246</v>
      </c>
      <c r="P1964" s="6" t="s">
        <v>44</v>
      </c>
      <c r="Q1964" s="8" t="s">
        <v>45</v>
      </c>
      <c r="R1964" s="10" t="s">
        <v>1778</v>
      </c>
      <c r="S1964" s="11"/>
      <c r="T1964" s="6"/>
      <c r="U1964" s="24" t="str">
        <f>HYPERLINK("https://media.infra-m.ru/2220/2220006/cover/2220006.jpg", "Обложка")</f>
        <v>Обложка</v>
      </c>
      <c r="V1964" s="24" t="str">
        <f>HYPERLINK("https://znanium.ru/catalog/product/1984927", "Ознакомиться")</f>
        <v>Ознакомиться</v>
      </c>
      <c r="W1964" s="8" t="s">
        <v>418</v>
      </c>
      <c r="X1964" s="6"/>
      <c r="Y1964" s="6"/>
      <c r="Z1964" s="6"/>
      <c r="AA1964" s="6" t="s">
        <v>76</v>
      </c>
      <c r="AB1964" s="8"/>
    </row>
    <row r="1965" spans="1:28" s="4" customFormat="1" ht="44.1" customHeight="1">
      <c r="A1965" s="5">
        <v>0</v>
      </c>
      <c r="B1965" s="6" t="s">
        <v>11305</v>
      </c>
      <c r="C1965" s="7">
        <v>1560</v>
      </c>
      <c r="D1965" s="8" t="s">
        <v>11306</v>
      </c>
      <c r="E1965" s="8" t="s">
        <v>11307</v>
      </c>
      <c r="F1965" s="8" t="s">
        <v>11308</v>
      </c>
      <c r="G1965" s="6" t="s">
        <v>38</v>
      </c>
      <c r="H1965" s="6" t="s">
        <v>39</v>
      </c>
      <c r="I1965" s="8" t="s">
        <v>40</v>
      </c>
      <c r="J1965" s="9">
        <v>1</v>
      </c>
      <c r="K1965" s="9">
        <v>226</v>
      </c>
      <c r="L1965" s="9">
        <v>2022</v>
      </c>
      <c r="M1965" s="8" t="s">
        <v>11309</v>
      </c>
      <c r="N1965" s="8" t="s">
        <v>220</v>
      </c>
      <c r="O1965" s="8" t="s">
        <v>296</v>
      </c>
      <c r="P1965" s="6" t="s">
        <v>44</v>
      </c>
      <c r="Q1965" s="8" t="s">
        <v>45</v>
      </c>
      <c r="R1965" s="10" t="s">
        <v>11310</v>
      </c>
      <c r="S1965" s="11"/>
      <c r="T1965" s="6" t="s">
        <v>1080</v>
      </c>
      <c r="U1965" s="24" t="str">
        <f>HYPERLINK("https://media.infra-m.ru/1819/1819036/cover/1819036.jpg", "Обложка")</f>
        <v>Обложка</v>
      </c>
      <c r="V1965" s="24" t="str">
        <f>HYPERLINK("https://znanium.ru/catalog/product/1819036", "Ознакомиться")</f>
        <v>Ознакомиться</v>
      </c>
      <c r="W1965" s="8" t="s">
        <v>418</v>
      </c>
      <c r="X1965" s="6"/>
      <c r="Y1965" s="6"/>
      <c r="Z1965" s="6"/>
      <c r="AA1965" s="6" t="s">
        <v>111</v>
      </c>
      <c r="AB1965" s="8"/>
    </row>
    <row r="1966" spans="1:28" s="4" customFormat="1" ht="42" customHeight="1">
      <c r="A1966" s="5">
        <v>0</v>
      </c>
      <c r="B1966" s="6" t="s">
        <v>11311</v>
      </c>
      <c r="C1966" s="13">
        <v>588</v>
      </c>
      <c r="D1966" s="8" t="s">
        <v>11312</v>
      </c>
      <c r="E1966" s="8" t="s">
        <v>11313</v>
      </c>
      <c r="F1966" s="8" t="s">
        <v>11314</v>
      </c>
      <c r="G1966" s="6" t="s">
        <v>132</v>
      </c>
      <c r="H1966" s="6" t="s">
        <v>39</v>
      </c>
      <c r="I1966" s="8" t="s">
        <v>344</v>
      </c>
      <c r="J1966" s="9">
        <v>1</v>
      </c>
      <c r="K1966" s="9">
        <v>156</v>
      </c>
      <c r="L1966" s="9">
        <v>2018</v>
      </c>
      <c r="M1966" s="8" t="s">
        <v>11315</v>
      </c>
      <c r="N1966" s="8" t="s">
        <v>54</v>
      </c>
      <c r="O1966" s="8" t="s">
        <v>91</v>
      </c>
      <c r="P1966" s="6" t="s">
        <v>44</v>
      </c>
      <c r="Q1966" s="8" t="s">
        <v>45</v>
      </c>
      <c r="R1966" s="10"/>
      <c r="S1966" s="11"/>
      <c r="T1966" s="6"/>
      <c r="U1966" s="24" t="str">
        <f>HYPERLINK("https://media.infra-m.ru/0925/0925967/cover/925967.jpg", "Обложка")</f>
        <v>Обложка</v>
      </c>
      <c r="V1966" s="12"/>
      <c r="W1966" s="8" t="s">
        <v>346</v>
      </c>
      <c r="X1966" s="6"/>
      <c r="Y1966" s="6"/>
      <c r="Z1966" s="6"/>
      <c r="AA1966" s="6" t="s">
        <v>68</v>
      </c>
      <c r="AB1966" s="8"/>
    </row>
    <row r="1967" spans="1:28" s="4" customFormat="1" ht="42" customHeight="1">
      <c r="A1967" s="5">
        <v>0</v>
      </c>
      <c r="B1967" s="6" t="s">
        <v>11316</v>
      </c>
      <c r="C1967" s="7">
        <v>1200</v>
      </c>
      <c r="D1967" s="8" t="s">
        <v>11317</v>
      </c>
      <c r="E1967" s="8" t="s">
        <v>11318</v>
      </c>
      <c r="F1967" s="8" t="s">
        <v>11319</v>
      </c>
      <c r="G1967" s="6" t="s">
        <v>38</v>
      </c>
      <c r="H1967" s="6" t="s">
        <v>39</v>
      </c>
      <c r="I1967" s="8" t="s">
        <v>40</v>
      </c>
      <c r="J1967" s="9">
        <v>1</v>
      </c>
      <c r="K1967" s="9">
        <v>209</v>
      </c>
      <c r="L1967" s="9">
        <v>2024</v>
      </c>
      <c r="M1967" s="8" t="s">
        <v>11320</v>
      </c>
      <c r="N1967" s="8" t="s">
        <v>42</v>
      </c>
      <c r="O1967" s="8" t="s">
        <v>189</v>
      </c>
      <c r="P1967" s="6" t="s">
        <v>44</v>
      </c>
      <c r="Q1967" s="8" t="s">
        <v>45</v>
      </c>
      <c r="R1967" s="10" t="s">
        <v>1419</v>
      </c>
      <c r="S1967" s="11"/>
      <c r="T1967" s="6"/>
      <c r="U1967" s="24" t="str">
        <f>HYPERLINK("https://media.infra-m.ru/2085/2085065/cover/2085065.jpg", "Обложка")</f>
        <v>Обложка</v>
      </c>
      <c r="V1967" s="24" t="str">
        <f>HYPERLINK("https://znanium.ru/catalog/product/2085065", "Ознакомиться")</f>
        <v>Ознакомиться</v>
      </c>
      <c r="W1967" s="8" t="s">
        <v>2642</v>
      </c>
      <c r="X1967" s="6"/>
      <c r="Y1967" s="6"/>
      <c r="Z1967" s="6"/>
      <c r="AA1967" s="6" t="s">
        <v>58</v>
      </c>
      <c r="AB1967" s="8"/>
    </row>
    <row r="1968" spans="1:28" s="4" customFormat="1" ht="42" customHeight="1">
      <c r="A1968" s="5">
        <v>0</v>
      </c>
      <c r="B1968" s="6" t="s">
        <v>11321</v>
      </c>
      <c r="C1968" s="7">
        <v>1492.8</v>
      </c>
      <c r="D1968" s="8" t="s">
        <v>11322</v>
      </c>
      <c r="E1968" s="8" t="s">
        <v>11323</v>
      </c>
      <c r="F1968" s="8" t="s">
        <v>11324</v>
      </c>
      <c r="G1968" s="6" t="s">
        <v>38</v>
      </c>
      <c r="H1968" s="6" t="s">
        <v>182</v>
      </c>
      <c r="I1968" s="8" t="s">
        <v>40</v>
      </c>
      <c r="J1968" s="9">
        <v>1</v>
      </c>
      <c r="K1968" s="9">
        <v>238</v>
      </c>
      <c r="L1968" s="9">
        <v>2025</v>
      </c>
      <c r="M1968" s="8" t="s">
        <v>11325</v>
      </c>
      <c r="N1968" s="8" t="s">
        <v>54</v>
      </c>
      <c r="O1968" s="8" t="s">
        <v>55</v>
      </c>
      <c r="P1968" s="6" t="s">
        <v>44</v>
      </c>
      <c r="Q1968" s="8" t="s">
        <v>45</v>
      </c>
      <c r="R1968" s="10" t="s">
        <v>2330</v>
      </c>
      <c r="S1968" s="11"/>
      <c r="T1968" s="6"/>
      <c r="U1968" s="24" t="str">
        <f>HYPERLINK("https://media.infra-m.ru/2196/2196887/cover/2196887.jpg", "Обложка")</f>
        <v>Обложка</v>
      </c>
      <c r="V1968" s="24" t="str">
        <f>HYPERLINK("https://znanium.ru/catalog/product/2063336", "Ознакомиться")</f>
        <v>Ознакомиться</v>
      </c>
      <c r="W1968" s="8"/>
      <c r="X1968" s="6"/>
      <c r="Y1968" s="6"/>
      <c r="Z1968" s="6"/>
      <c r="AA1968" s="6" t="s">
        <v>290</v>
      </c>
      <c r="AB1968" s="8"/>
    </row>
    <row r="1969" spans="1:28" s="4" customFormat="1" ht="44.1" customHeight="1">
      <c r="A1969" s="5">
        <v>0</v>
      </c>
      <c r="B1969" s="6" t="s">
        <v>11326</v>
      </c>
      <c r="C1969" s="7">
        <v>1188</v>
      </c>
      <c r="D1969" s="8" t="s">
        <v>11327</v>
      </c>
      <c r="E1969" s="8" t="s">
        <v>11328</v>
      </c>
      <c r="F1969" s="8" t="s">
        <v>11329</v>
      </c>
      <c r="G1969" s="6" t="s">
        <v>132</v>
      </c>
      <c r="H1969" s="6" t="s">
        <v>39</v>
      </c>
      <c r="I1969" s="8" t="s">
        <v>40</v>
      </c>
      <c r="J1969" s="9">
        <v>1</v>
      </c>
      <c r="K1969" s="9">
        <v>185</v>
      </c>
      <c r="L1969" s="9">
        <v>2025</v>
      </c>
      <c r="M1969" s="8" t="s">
        <v>11330</v>
      </c>
      <c r="N1969" s="8" t="s">
        <v>42</v>
      </c>
      <c r="O1969" s="8" t="s">
        <v>101</v>
      </c>
      <c r="P1969" s="6" t="s">
        <v>44</v>
      </c>
      <c r="Q1969" s="8" t="s">
        <v>45</v>
      </c>
      <c r="R1969" s="10" t="s">
        <v>6682</v>
      </c>
      <c r="S1969" s="11"/>
      <c r="T1969" s="6"/>
      <c r="U1969" s="24" t="str">
        <f>HYPERLINK("https://media.infra-m.ru/2169/2169736/cover/2169736.jpg", "Обложка")</f>
        <v>Обложка</v>
      </c>
      <c r="V1969" s="24" t="str">
        <f>HYPERLINK("https://znanium.ru/catalog/product/2169736", "Ознакомиться")</f>
        <v>Ознакомиться</v>
      </c>
      <c r="W1969" s="8" t="s">
        <v>391</v>
      </c>
      <c r="X1969" s="6" t="s">
        <v>306</v>
      </c>
      <c r="Y1969" s="6"/>
      <c r="Z1969" s="6"/>
      <c r="AA1969" s="6" t="s">
        <v>159</v>
      </c>
      <c r="AB1969" s="8"/>
    </row>
    <row r="1970" spans="1:28" s="4" customFormat="1" ht="44.1" customHeight="1">
      <c r="A1970" s="5">
        <v>0</v>
      </c>
      <c r="B1970" s="6" t="s">
        <v>11331</v>
      </c>
      <c r="C1970" s="13">
        <v>924</v>
      </c>
      <c r="D1970" s="8" t="s">
        <v>11332</v>
      </c>
      <c r="E1970" s="8" t="s">
        <v>11333</v>
      </c>
      <c r="F1970" s="8" t="s">
        <v>11334</v>
      </c>
      <c r="G1970" s="6" t="s">
        <v>38</v>
      </c>
      <c r="H1970" s="6" t="s">
        <v>39</v>
      </c>
      <c r="I1970" s="8" t="s">
        <v>40</v>
      </c>
      <c r="J1970" s="9">
        <v>1</v>
      </c>
      <c r="K1970" s="9">
        <v>148</v>
      </c>
      <c r="L1970" s="9">
        <v>2026</v>
      </c>
      <c r="M1970" s="8" t="s">
        <v>11335</v>
      </c>
      <c r="N1970" s="8" t="s">
        <v>42</v>
      </c>
      <c r="O1970" s="8" t="s">
        <v>101</v>
      </c>
      <c r="P1970" s="6" t="s">
        <v>44</v>
      </c>
      <c r="Q1970" s="8" t="s">
        <v>45</v>
      </c>
      <c r="R1970" s="10" t="s">
        <v>1587</v>
      </c>
      <c r="S1970" s="11"/>
      <c r="T1970" s="6"/>
      <c r="U1970" s="24" t="str">
        <f>HYPERLINK("https://media.infra-m.ru/2212/2212950/cover/2212950.jpg", "Обложка")</f>
        <v>Обложка</v>
      </c>
      <c r="V1970" s="24" t="str">
        <f>HYPERLINK("https://znanium.ru/catalog/product/2212950", "Ознакомиться")</f>
        <v>Ознакомиться</v>
      </c>
      <c r="W1970" s="8" t="s">
        <v>1718</v>
      </c>
      <c r="X1970" s="6"/>
      <c r="Y1970" s="6"/>
      <c r="Z1970" s="6"/>
      <c r="AA1970" s="6" t="s">
        <v>48</v>
      </c>
      <c r="AB1970" s="8"/>
    </row>
    <row r="1971" spans="1:28" s="4" customFormat="1" ht="42" customHeight="1">
      <c r="A1971" s="5">
        <v>0</v>
      </c>
      <c r="B1971" s="6" t="s">
        <v>11336</v>
      </c>
      <c r="C1971" s="7">
        <v>1061.9000000000001</v>
      </c>
      <c r="D1971" s="8" t="s">
        <v>11337</v>
      </c>
      <c r="E1971" s="8" t="s">
        <v>11338</v>
      </c>
      <c r="F1971" s="8" t="s">
        <v>11339</v>
      </c>
      <c r="G1971" s="6" t="s">
        <v>38</v>
      </c>
      <c r="H1971" s="6" t="s">
        <v>39</v>
      </c>
      <c r="I1971" s="8" t="s">
        <v>40</v>
      </c>
      <c r="J1971" s="9">
        <v>1</v>
      </c>
      <c r="K1971" s="9">
        <v>197</v>
      </c>
      <c r="L1971" s="9">
        <v>2023</v>
      </c>
      <c r="M1971" s="8" t="s">
        <v>11340</v>
      </c>
      <c r="N1971" s="8" t="s">
        <v>42</v>
      </c>
      <c r="O1971" s="8" t="s">
        <v>101</v>
      </c>
      <c r="P1971" s="6" t="s">
        <v>44</v>
      </c>
      <c r="Q1971" s="8" t="s">
        <v>45</v>
      </c>
      <c r="R1971" s="10" t="s">
        <v>269</v>
      </c>
      <c r="S1971" s="11"/>
      <c r="T1971" s="6"/>
      <c r="U1971" s="24" t="str">
        <f>HYPERLINK("https://media.infra-m.ru/1964/1964978/cover/1964978.jpg", "Обложка")</f>
        <v>Обложка</v>
      </c>
      <c r="V1971" s="24" t="str">
        <f>HYPERLINK("https://znanium.ru/catalog/product/1964978", "Ознакомиться")</f>
        <v>Ознакомиться</v>
      </c>
      <c r="W1971" s="8" t="s">
        <v>10329</v>
      </c>
      <c r="X1971" s="6"/>
      <c r="Y1971" s="6"/>
      <c r="Z1971" s="6"/>
      <c r="AA1971" s="6" t="s">
        <v>168</v>
      </c>
      <c r="AB1971" s="8"/>
    </row>
    <row r="1972" spans="1:28" s="4" customFormat="1" ht="42" customHeight="1">
      <c r="A1972" s="5">
        <v>0</v>
      </c>
      <c r="B1972" s="6" t="s">
        <v>11341</v>
      </c>
      <c r="C1972" s="7">
        <v>1264.8</v>
      </c>
      <c r="D1972" s="8" t="s">
        <v>11342</v>
      </c>
      <c r="E1972" s="8" t="s">
        <v>11343</v>
      </c>
      <c r="F1972" s="8" t="s">
        <v>11344</v>
      </c>
      <c r="G1972" s="6" t="s">
        <v>38</v>
      </c>
      <c r="H1972" s="6" t="s">
        <v>182</v>
      </c>
      <c r="I1972" s="8"/>
      <c r="J1972" s="9">
        <v>1</v>
      </c>
      <c r="K1972" s="9">
        <v>204</v>
      </c>
      <c r="L1972" s="9">
        <v>2025</v>
      </c>
      <c r="M1972" s="8" t="s">
        <v>11345</v>
      </c>
      <c r="N1972" s="8" t="s">
        <v>42</v>
      </c>
      <c r="O1972" s="8" t="s">
        <v>189</v>
      </c>
      <c r="P1972" s="6" t="s">
        <v>44</v>
      </c>
      <c r="Q1972" s="8" t="s">
        <v>45</v>
      </c>
      <c r="R1972" s="10" t="s">
        <v>11346</v>
      </c>
      <c r="S1972" s="11"/>
      <c r="T1972" s="6"/>
      <c r="U1972" s="24" t="str">
        <f>HYPERLINK("https://media.infra-m.ru/2223/2223758/cover/2223758.jpg", "Обложка")</f>
        <v>Обложка</v>
      </c>
      <c r="V1972" s="24" t="str">
        <f>HYPERLINK("https://znanium.ru/catalog/product/1047139", "Ознакомиться")</f>
        <v>Ознакомиться</v>
      </c>
      <c r="W1972" s="8" t="s">
        <v>1874</v>
      </c>
      <c r="X1972" s="6"/>
      <c r="Y1972" s="6"/>
      <c r="Z1972" s="6"/>
      <c r="AA1972" s="6" t="s">
        <v>369</v>
      </c>
      <c r="AB1972" s="8"/>
    </row>
    <row r="1973" spans="1:28" s="4" customFormat="1" ht="42" customHeight="1">
      <c r="A1973" s="5">
        <v>0</v>
      </c>
      <c r="B1973" s="6" t="s">
        <v>11347</v>
      </c>
      <c r="C1973" s="7">
        <v>1596</v>
      </c>
      <c r="D1973" s="8" t="s">
        <v>11348</v>
      </c>
      <c r="E1973" s="8" t="s">
        <v>11349</v>
      </c>
      <c r="F1973" s="8" t="s">
        <v>11350</v>
      </c>
      <c r="G1973" s="6" t="s">
        <v>81</v>
      </c>
      <c r="H1973" s="6" t="s">
        <v>39</v>
      </c>
      <c r="I1973" s="8" t="s">
        <v>40</v>
      </c>
      <c r="J1973" s="9">
        <v>1</v>
      </c>
      <c r="K1973" s="9">
        <v>289</v>
      </c>
      <c r="L1973" s="9">
        <v>2024</v>
      </c>
      <c r="M1973" s="8" t="s">
        <v>11351</v>
      </c>
      <c r="N1973" s="8" t="s">
        <v>42</v>
      </c>
      <c r="O1973" s="8" t="s">
        <v>246</v>
      </c>
      <c r="P1973" s="6" t="s">
        <v>44</v>
      </c>
      <c r="Q1973" s="8" t="s">
        <v>45</v>
      </c>
      <c r="R1973" s="10" t="s">
        <v>3755</v>
      </c>
      <c r="S1973" s="11"/>
      <c r="T1973" s="6" t="s">
        <v>1080</v>
      </c>
      <c r="U1973" s="24" t="str">
        <f>HYPERLINK("https://media.infra-m.ru/2117/2117173/cover/2117173.jpg", "Обложка")</f>
        <v>Обложка</v>
      </c>
      <c r="V1973" s="24" t="str">
        <f>HYPERLINK("https://znanium.ru/catalog/product/2117173", "Ознакомиться")</f>
        <v>Ознакомиться</v>
      </c>
      <c r="W1973" s="8" t="s">
        <v>207</v>
      </c>
      <c r="X1973" s="6"/>
      <c r="Y1973" s="6"/>
      <c r="Z1973" s="6"/>
      <c r="AA1973" s="6" t="s">
        <v>339</v>
      </c>
      <c r="AB1973" s="8"/>
    </row>
    <row r="1974" spans="1:28" s="4" customFormat="1" ht="42" customHeight="1">
      <c r="A1974" s="5">
        <v>0</v>
      </c>
      <c r="B1974" s="6" t="s">
        <v>11352</v>
      </c>
      <c r="C1974" s="7">
        <v>1720.8</v>
      </c>
      <c r="D1974" s="8" t="s">
        <v>11353</v>
      </c>
      <c r="E1974" s="8" t="s">
        <v>11354</v>
      </c>
      <c r="F1974" s="8" t="s">
        <v>1745</v>
      </c>
      <c r="G1974" s="6" t="s">
        <v>132</v>
      </c>
      <c r="H1974" s="6" t="s">
        <v>39</v>
      </c>
      <c r="I1974" s="8" t="s">
        <v>40</v>
      </c>
      <c r="J1974" s="9">
        <v>1</v>
      </c>
      <c r="K1974" s="9">
        <v>313</v>
      </c>
      <c r="L1974" s="9">
        <v>2023</v>
      </c>
      <c r="M1974" s="8" t="s">
        <v>11355</v>
      </c>
      <c r="N1974" s="8" t="s">
        <v>284</v>
      </c>
      <c r="O1974" s="8" t="s">
        <v>328</v>
      </c>
      <c r="P1974" s="6" t="s">
        <v>44</v>
      </c>
      <c r="Q1974" s="8" t="s">
        <v>45</v>
      </c>
      <c r="R1974" s="10" t="s">
        <v>8784</v>
      </c>
      <c r="S1974" s="11"/>
      <c r="T1974" s="6"/>
      <c r="U1974" s="24" t="str">
        <f>HYPERLINK("https://media.infra-m.ru/1861/1861126/cover/1861126.jpg", "Обложка")</f>
        <v>Обложка</v>
      </c>
      <c r="V1974" s="24" t="str">
        <f>HYPERLINK("https://znanium.ru/catalog/product/1042473", "Ознакомиться")</f>
        <v>Ознакомиться</v>
      </c>
      <c r="W1974" s="8" t="s">
        <v>1362</v>
      </c>
      <c r="X1974" s="6"/>
      <c r="Y1974" s="6"/>
      <c r="Z1974" s="6"/>
      <c r="AA1974" s="6" t="s">
        <v>68</v>
      </c>
      <c r="AB1974" s="8"/>
    </row>
    <row r="1975" spans="1:28" s="4" customFormat="1" ht="44.1" customHeight="1">
      <c r="A1975" s="5">
        <v>0</v>
      </c>
      <c r="B1975" s="6" t="s">
        <v>11356</v>
      </c>
      <c r="C1975" s="13">
        <v>900</v>
      </c>
      <c r="D1975" s="8" t="s">
        <v>11357</v>
      </c>
      <c r="E1975" s="8" t="s">
        <v>11358</v>
      </c>
      <c r="F1975" s="8" t="s">
        <v>11359</v>
      </c>
      <c r="G1975" s="6" t="s">
        <v>38</v>
      </c>
      <c r="H1975" s="6" t="s">
        <v>39</v>
      </c>
      <c r="I1975" s="8" t="s">
        <v>40</v>
      </c>
      <c r="J1975" s="9">
        <v>1</v>
      </c>
      <c r="K1975" s="9">
        <v>187</v>
      </c>
      <c r="L1975" s="9">
        <v>2022</v>
      </c>
      <c r="M1975" s="8" t="s">
        <v>11360</v>
      </c>
      <c r="N1975" s="8" t="s">
        <v>42</v>
      </c>
      <c r="O1975" s="8" t="s">
        <v>189</v>
      </c>
      <c r="P1975" s="6" t="s">
        <v>44</v>
      </c>
      <c r="Q1975" s="8" t="s">
        <v>45</v>
      </c>
      <c r="R1975" s="10" t="s">
        <v>11361</v>
      </c>
      <c r="S1975" s="11"/>
      <c r="T1975" s="6"/>
      <c r="U1975" s="24" t="str">
        <f>HYPERLINK("https://media.infra-m.ru/1318/1318775/cover/1318775.jpg", "Обложка")</f>
        <v>Обложка</v>
      </c>
      <c r="V1975" s="24" t="str">
        <f>HYPERLINK("https://znanium.ru/catalog/product/1318775", "Ознакомиться")</f>
        <v>Ознакомиться</v>
      </c>
      <c r="W1975" s="8" t="s">
        <v>11362</v>
      </c>
      <c r="X1975" s="6"/>
      <c r="Y1975" s="6"/>
      <c r="Z1975" s="6"/>
      <c r="AA1975" s="6" t="s">
        <v>111</v>
      </c>
      <c r="AB1975" s="8"/>
    </row>
    <row r="1976" spans="1:28" s="4" customFormat="1" ht="51.95" customHeight="1">
      <c r="A1976" s="5">
        <v>0</v>
      </c>
      <c r="B1976" s="6" t="s">
        <v>11363</v>
      </c>
      <c r="C1976" s="7">
        <v>2520</v>
      </c>
      <c r="D1976" s="8" t="s">
        <v>11364</v>
      </c>
      <c r="E1976" s="8" t="s">
        <v>11365</v>
      </c>
      <c r="F1976" s="8" t="s">
        <v>11366</v>
      </c>
      <c r="G1976" s="6" t="s">
        <v>132</v>
      </c>
      <c r="H1976" s="6" t="s">
        <v>39</v>
      </c>
      <c r="I1976" s="8" t="s">
        <v>40</v>
      </c>
      <c r="J1976" s="9">
        <v>1</v>
      </c>
      <c r="K1976" s="9">
        <v>401</v>
      </c>
      <c r="L1976" s="9">
        <v>2025</v>
      </c>
      <c r="M1976" s="8" t="s">
        <v>11367</v>
      </c>
      <c r="N1976" s="8" t="s">
        <v>42</v>
      </c>
      <c r="O1976" s="8" t="s">
        <v>189</v>
      </c>
      <c r="P1976" s="6" t="s">
        <v>44</v>
      </c>
      <c r="Q1976" s="8" t="s">
        <v>45</v>
      </c>
      <c r="R1976" s="10" t="s">
        <v>11368</v>
      </c>
      <c r="S1976" s="11"/>
      <c r="T1976" s="6"/>
      <c r="U1976" s="24" t="str">
        <f>HYPERLINK("https://media.infra-m.ru/2189/2189088/cover/2189088.jpg", "Обложка")</f>
        <v>Обложка</v>
      </c>
      <c r="V1976" s="24" t="str">
        <f>HYPERLINK("https://znanium.ru/catalog/product/2189088", "Ознакомиться")</f>
        <v>Ознакомиться</v>
      </c>
      <c r="W1976" s="8" t="s">
        <v>2991</v>
      </c>
      <c r="X1976" s="6" t="s">
        <v>320</v>
      </c>
      <c r="Y1976" s="6"/>
      <c r="Z1976" s="6"/>
      <c r="AA1976" s="6" t="s">
        <v>159</v>
      </c>
      <c r="AB1976" s="8"/>
    </row>
    <row r="1977" spans="1:28" s="4" customFormat="1" ht="51.95" customHeight="1">
      <c r="A1977" s="5">
        <v>0</v>
      </c>
      <c r="B1977" s="6" t="s">
        <v>11369</v>
      </c>
      <c r="C1977" s="7">
        <v>1480.8</v>
      </c>
      <c r="D1977" s="8" t="s">
        <v>11370</v>
      </c>
      <c r="E1977" s="8" t="s">
        <v>11371</v>
      </c>
      <c r="F1977" s="8" t="s">
        <v>11372</v>
      </c>
      <c r="G1977" s="6" t="s">
        <v>38</v>
      </c>
      <c r="H1977" s="6" t="s">
        <v>182</v>
      </c>
      <c r="I1977" s="8" t="s">
        <v>40</v>
      </c>
      <c r="J1977" s="9">
        <v>1</v>
      </c>
      <c r="K1977" s="9">
        <v>238</v>
      </c>
      <c r="L1977" s="9">
        <v>2025</v>
      </c>
      <c r="M1977" s="8" t="s">
        <v>11373</v>
      </c>
      <c r="N1977" s="8" t="s">
        <v>220</v>
      </c>
      <c r="O1977" s="8" t="s">
        <v>252</v>
      </c>
      <c r="P1977" s="6" t="s">
        <v>44</v>
      </c>
      <c r="Q1977" s="8" t="s">
        <v>45</v>
      </c>
      <c r="R1977" s="10" t="s">
        <v>11374</v>
      </c>
      <c r="S1977" s="11"/>
      <c r="T1977" s="6" t="s">
        <v>1080</v>
      </c>
      <c r="U1977" s="24" t="str">
        <f>HYPERLINK("https://media.infra-m.ru/2192/2192418/cover/2192418.jpg", "Обложка")</f>
        <v>Обложка</v>
      </c>
      <c r="V1977" s="24" t="str">
        <f>HYPERLINK("https://znanium.ru/catalog/product/1243846", "Ознакомиться")</f>
        <v>Ознакомиться</v>
      </c>
      <c r="W1977" s="8" t="s">
        <v>5050</v>
      </c>
      <c r="X1977" s="6"/>
      <c r="Y1977" s="6"/>
      <c r="Z1977" s="6"/>
      <c r="AA1977" s="6" t="s">
        <v>369</v>
      </c>
      <c r="AB1977" s="8"/>
    </row>
    <row r="1978" spans="1:28" s="4" customFormat="1" ht="42" customHeight="1">
      <c r="A1978" s="5">
        <v>0</v>
      </c>
      <c r="B1978" s="6" t="s">
        <v>11375</v>
      </c>
      <c r="C1978" s="7">
        <v>1152</v>
      </c>
      <c r="D1978" s="8" t="s">
        <v>11376</v>
      </c>
      <c r="E1978" s="8" t="s">
        <v>11377</v>
      </c>
      <c r="F1978" s="8" t="s">
        <v>11378</v>
      </c>
      <c r="G1978" s="6" t="s">
        <v>38</v>
      </c>
      <c r="H1978" s="6" t="s">
        <v>39</v>
      </c>
      <c r="I1978" s="8" t="s">
        <v>40</v>
      </c>
      <c r="J1978" s="9">
        <v>1</v>
      </c>
      <c r="K1978" s="9">
        <v>229</v>
      </c>
      <c r="L1978" s="9">
        <v>2025</v>
      </c>
      <c r="M1978" s="8" t="s">
        <v>11379</v>
      </c>
      <c r="N1978" s="8" t="s">
        <v>42</v>
      </c>
      <c r="O1978" s="8" t="s">
        <v>101</v>
      </c>
      <c r="P1978" s="6" t="s">
        <v>44</v>
      </c>
      <c r="Q1978" s="8" t="s">
        <v>45</v>
      </c>
      <c r="R1978" s="10" t="s">
        <v>6682</v>
      </c>
      <c r="S1978" s="11"/>
      <c r="T1978" s="6"/>
      <c r="U1978" s="24" t="str">
        <f>HYPERLINK("https://media.infra-m.ru/2141/2141100/cover/2141100.jpg", "Обложка")</f>
        <v>Обложка</v>
      </c>
      <c r="V1978" s="24" t="str">
        <f>HYPERLINK("https://znanium.ru/catalog/product/2141100", "Ознакомиться")</f>
        <v>Ознакомиться</v>
      </c>
      <c r="W1978" s="8" t="s">
        <v>391</v>
      </c>
      <c r="X1978" s="6"/>
      <c r="Y1978" s="6"/>
      <c r="Z1978" s="6"/>
      <c r="AA1978" s="6" t="s">
        <v>159</v>
      </c>
      <c r="AB1978" s="8"/>
    </row>
    <row r="1979" spans="1:28" s="4" customFormat="1" ht="42" customHeight="1">
      <c r="A1979" s="5">
        <v>0</v>
      </c>
      <c r="B1979" s="6" t="s">
        <v>11380</v>
      </c>
      <c r="C1979" s="7">
        <v>1632</v>
      </c>
      <c r="D1979" s="8" t="s">
        <v>11381</v>
      </c>
      <c r="E1979" s="8" t="s">
        <v>11382</v>
      </c>
      <c r="F1979" s="8" t="s">
        <v>11383</v>
      </c>
      <c r="G1979" s="6" t="s">
        <v>38</v>
      </c>
      <c r="H1979" s="6" t="s">
        <v>39</v>
      </c>
      <c r="I1979" s="8" t="s">
        <v>40</v>
      </c>
      <c r="J1979" s="9">
        <v>1</v>
      </c>
      <c r="K1979" s="9">
        <v>296</v>
      </c>
      <c r="L1979" s="9">
        <v>2024</v>
      </c>
      <c r="M1979" s="8" t="s">
        <v>11384</v>
      </c>
      <c r="N1979" s="8" t="s">
        <v>220</v>
      </c>
      <c r="O1979" s="8" t="s">
        <v>296</v>
      </c>
      <c r="P1979" s="6" t="s">
        <v>44</v>
      </c>
      <c r="Q1979" s="8" t="s">
        <v>45</v>
      </c>
      <c r="R1979" s="10" t="s">
        <v>11385</v>
      </c>
      <c r="S1979" s="11"/>
      <c r="T1979" s="6"/>
      <c r="U1979" s="24" t="str">
        <f>HYPERLINK("https://media.infra-m.ru/2128/2128635/cover/2128635.jpg", "Обложка")</f>
        <v>Обложка</v>
      </c>
      <c r="V1979" s="24" t="str">
        <f>HYPERLINK("https://znanium.ru/catalog/product/2128635", "Ознакомиться")</f>
        <v>Ознакомиться</v>
      </c>
      <c r="W1979" s="8" t="s">
        <v>6441</v>
      </c>
      <c r="X1979" s="6"/>
      <c r="Y1979" s="6"/>
      <c r="Z1979" s="6"/>
      <c r="AA1979" s="6" t="s">
        <v>111</v>
      </c>
      <c r="AB1979" s="8"/>
    </row>
    <row r="1980" spans="1:28" s="4" customFormat="1" ht="42" customHeight="1">
      <c r="A1980" s="5">
        <v>0</v>
      </c>
      <c r="B1980" s="6" t="s">
        <v>11386</v>
      </c>
      <c r="C1980" s="7">
        <v>1500</v>
      </c>
      <c r="D1980" s="8" t="s">
        <v>11387</v>
      </c>
      <c r="E1980" s="8" t="s">
        <v>11388</v>
      </c>
      <c r="F1980" s="8" t="s">
        <v>11389</v>
      </c>
      <c r="G1980" s="6" t="s">
        <v>81</v>
      </c>
      <c r="H1980" s="6" t="s">
        <v>39</v>
      </c>
      <c r="I1980" s="8" t="s">
        <v>344</v>
      </c>
      <c r="J1980" s="9">
        <v>1</v>
      </c>
      <c r="K1980" s="9">
        <v>271</v>
      </c>
      <c r="L1980" s="9">
        <v>2024</v>
      </c>
      <c r="M1980" s="8" t="s">
        <v>11390</v>
      </c>
      <c r="N1980" s="8" t="s">
        <v>284</v>
      </c>
      <c r="O1980" s="8" t="s">
        <v>2265</v>
      </c>
      <c r="P1980" s="6" t="s">
        <v>44</v>
      </c>
      <c r="Q1980" s="8" t="s">
        <v>45</v>
      </c>
      <c r="R1980" s="10" t="s">
        <v>11391</v>
      </c>
      <c r="S1980" s="11"/>
      <c r="T1980" s="6"/>
      <c r="U1980" s="24" t="str">
        <f>HYPERLINK("https://media.infra-m.ru/2117/2117127/cover/2117127.jpg", "Обложка")</f>
        <v>Обложка</v>
      </c>
      <c r="V1980" s="12"/>
      <c r="W1980" s="8" t="s">
        <v>831</v>
      </c>
      <c r="X1980" s="6"/>
      <c r="Y1980" s="6"/>
      <c r="Z1980" s="6"/>
      <c r="AA1980" s="6" t="s">
        <v>68</v>
      </c>
      <c r="AB1980" s="8"/>
    </row>
    <row r="1981" spans="1:28" s="4" customFormat="1" ht="42" customHeight="1">
      <c r="A1981" s="5">
        <v>0</v>
      </c>
      <c r="B1981" s="6" t="s">
        <v>11392</v>
      </c>
      <c r="C1981" s="7">
        <v>1140</v>
      </c>
      <c r="D1981" s="8" t="s">
        <v>11393</v>
      </c>
      <c r="E1981" s="8" t="s">
        <v>11394</v>
      </c>
      <c r="F1981" s="8" t="s">
        <v>11395</v>
      </c>
      <c r="G1981" s="6" t="s">
        <v>38</v>
      </c>
      <c r="H1981" s="6" t="s">
        <v>39</v>
      </c>
      <c r="I1981" s="8" t="s">
        <v>40</v>
      </c>
      <c r="J1981" s="9">
        <v>1</v>
      </c>
      <c r="K1981" s="9">
        <v>203</v>
      </c>
      <c r="L1981" s="9">
        <v>2023</v>
      </c>
      <c r="M1981" s="8" t="s">
        <v>11396</v>
      </c>
      <c r="N1981" s="8" t="s">
        <v>284</v>
      </c>
      <c r="O1981" s="8" t="s">
        <v>2265</v>
      </c>
      <c r="P1981" s="6" t="s">
        <v>44</v>
      </c>
      <c r="Q1981" s="8" t="s">
        <v>45</v>
      </c>
      <c r="R1981" s="10" t="s">
        <v>2983</v>
      </c>
      <c r="S1981" s="11"/>
      <c r="T1981" s="6"/>
      <c r="U1981" s="24" t="str">
        <f>HYPERLINK("https://media.infra-m.ru/1891/1891847/cover/1891847.jpg", "Обложка")</f>
        <v>Обложка</v>
      </c>
      <c r="V1981" s="24" t="str">
        <f>HYPERLINK("https://znanium.ru/catalog/product/2224376", "Ознакомиться")</f>
        <v>Ознакомиться</v>
      </c>
      <c r="W1981" s="8" t="s">
        <v>831</v>
      </c>
      <c r="X1981" s="6"/>
      <c r="Y1981" s="6"/>
      <c r="Z1981" s="6"/>
      <c r="AA1981" s="6" t="s">
        <v>68</v>
      </c>
      <c r="AB1981" s="8"/>
    </row>
    <row r="1982" spans="1:28" s="4" customFormat="1" ht="42" customHeight="1">
      <c r="A1982" s="5">
        <v>0</v>
      </c>
      <c r="B1982" s="6" t="s">
        <v>11397</v>
      </c>
      <c r="C1982" s="13">
        <v>923.9</v>
      </c>
      <c r="D1982" s="8" t="s">
        <v>11398</v>
      </c>
      <c r="E1982" s="8" t="s">
        <v>11399</v>
      </c>
      <c r="F1982" s="8" t="s">
        <v>11395</v>
      </c>
      <c r="G1982" s="6" t="s">
        <v>81</v>
      </c>
      <c r="H1982" s="6" t="s">
        <v>39</v>
      </c>
      <c r="I1982" s="8" t="s">
        <v>40</v>
      </c>
      <c r="J1982" s="9">
        <v>1</v>
      </c>
      <c r="K1982" s="9">
        <v>226</v>
      </c>
      <c r="L1982" s="9">
        <v>2019</v>
      </c>
      <c r="M1982" s="8" t="s">
        <v>11400</v>
      </c>
      <c r="N1982" s="8" t="s">
        <v>284</v>
      </c>
      <c r="O1982" s="8" t="s">
        <v>2265</v>
      </c>
      <c r="P1982" s="6" t="s">
        <v>44</v>
      </c>
      <c r="Q1982" s="8" t="s">
        <v>45</v>
      </c>
      <c r="R1982" s="10" t="s">
        <v>2983</v>
      </c>
      <c r="S1982" s="11"/>
      <c r="T1982" s="6"/>
      <c r="U1982" s="24" t="str">
        <f>HYPERLINK("https://media.infra-m.ru/1002/1002484/cover/1002484.jpg", "Обложка")</f>
        <v>Обложка</v>
      </c>
      <c r="V1982" s="24" t="str">
        <f>HYPERLINK("https://znanium.ru/catalog/product/2224404", "Ознакомиться")</f>
        <v>Ознакомиться</v>
      </c>
      <c r="W1982" s="8" t="s">
        <v>831</v>
      </c>
      <c r="X1982" s="6"/>
      <c r="Y1982" s="6"/>
      <c r="Z1982" s="6"/>
      <c r="AA1982" s="6" t="s">
        <v>68</v>
      </c>
      <c r="AB1982" s="8"/>
    </row>
    <row r="1983" spans="1:28" s="4" customFormat="1" ht="42" customHeight="1">
      <c r="A1983" s="5">
        <v>0</v>
      </c>
      <c r="B1983" s="6" t="s">
        <v>11401</v>
      </c>
      <c r="C1983" s="7">
        <v>1128</v>
      </c>
      <c r="D1983" s="8" t="s">
        <v>11402</v>
      </c>
      <c r="E1983" s="8" t="s">
        <v>11403</v>
      </c>
      <c r="F1983" s="8" t="s">
        <v>11404</v>
      </c>
      <c r="G1983" s="6" t="s">
        <v>38</v>
      </c>
      <c r="H1983" s="6" t="s">
        <v>182</v>
      </c>
      <c r="I1983" s="8" t="s">
        <v>40</v>
      </c>
      <c r="J1983" s="9">
        <v>1</v>
      </c>
      <c r="K1983" s="9">
        <v>276</v>
      </c>
      <c r="L1983" s="9">
        <v>2019</v>
      </c>
      <c r="M1983" s="8" t="s">
        <v>11405</v>
      </c>
      <c r="N1983" s="8" t="s">
        <v>42</v>
      </c>
      <c r="O1983" s="8" t="s">
        <v>101</v>
      </c>
      <c r="P1983" s="6" t="s">
        <v>44</v>
      </c>
      <c r="Q1983" s="8" t="s">
        <v>45</v>
      </c>
      <c r="R1983" s="10" t="s">
        <v>269</v>
      </c>
      <c r="S1983" s="11"/>
      <c r="T1983" s="6"/>
      <c r="U1983" s="24" t="str">
        <f>HYPERLINK("https://media.infra-m.ru/1010/1010020/cover/1010020.jpg", "Обложка")</f>
        <v>Обложка</v>
      </c>
      <c r="V1983" s="24" t="str">
        <f>HYPERLINK("https://znanium.ru/catalog/product/1150953", "Ознакомиться")</f>
        <v>Ознакомиться</v>
      </c>
      <c r="W1983" s="8"/>
      <c r="X1983" s="6"/>
      <c r="Y1983" s="6"/>
      <c r="Z1983" s="6"/>
      <c r="AA1983" s="6" t="s">
        <v>892</v>
      </c>
      <c r="AB1983" s="8"/>
    </row>
    <row r="1984" spans="1:28" s="4" customFormat="1" ht="42" customHeight="1">
      <c r="A1984" s="5">
        <v>0</v>
      </c>
      <c r="B1984" s="6" t="s">
        <v>11406</v>
      </c>
      <c r="C1984" s="7">
        <v>1924.8</v>
      </c>
      <c r="D1984" s="8" t="s">
        <v>11407</v>
      </c>
      <c r="E1984" s="8" t="s">
        <v>11408</v>
      </c>
      <c r="F1984" s="8" t="s">
        <v>11404</v>
      </c>
      <c r="G1984" s="6" t="s">
        <v>38</v>
      </c>
      <c r="H1984" s="6" t="s">
        <v>182</v>
      </c>
      <c r="I1984" s="8" t="s">
        <v>40</v>
      </c>
      <c r="J1984" s="9">
        <v>1</v>
      </c>
      <c r="K1984" s="9">
        <v>348</v>
      </c>
      <c r="L1984" s="9">
        <v>2024</v>
      </c>
      <c r="M1984" s="8" t="s">
        <v>11409</v>
      </c>
      <c r="N1984" s="8" t="s">
        <v>42</v>
      </c>
      <c r="O1984" s="8" t="s">
        <v>101</v>
      </c>
      <c r="P1984" s="6" t="s">
        <v>44</v>
      </c>
      <c r="Q1984" s="8" t="s">
        <v>45</v>
      </c>
      <c r="R1984" s="10" t="s">
        <v>269</v>
      </c>
      <c r="S1984" s="11"/>
      <c r="T1984" s="6"/>
      <c r="U1984" s="24" t="str">
        <f>HYPERLINK("https://media.infra-m.ru/1911/1911798/cover/1911798.jpg", "Обложка")</f>
        <v>Обложка</v>
      </c>
      <c r="V1984" s="24" t="str">
        <f>HYPERLINK("https://znanium.ru/catalog/product/1150953", "Ознакомиться")</f>
        <v>Ознакомиться</v>
      </c>
      <c r="W1984" s="8"/>
      <c r="X1984" s="6"/>
      <c r="Y1984" s="6"/>
      <c r="Z1984" s="6"/>
      <c r="AA1984" s="6" t="s">
        <v>1826</v>
      </c>
      <c r="AB1984" s="8"/>
    </row>
    <row r="1985" spans="1:28" s="4" customFormat="1" ht="42" customHeight="1">
      <c r="A1985" s="5">
        <v>0</v>
      </c>
      <c r="B1985" s="6" t="s">
        <v>11410</v>
      </c>
      <c r="C1985" s="7">
        <v>1056</v>
      </c>
      <c r="D1985" s="8" t="s">
        <v>11411</v>
      </c>
      <c r="E1985" s="8" t="s">
        <v>11412</v>
      </c>
      <c r="F1985" s="8" t="s">
        <v>11404</v>
      </c>
      <c r="G1985" s="6" t="s">
        <v>38</v>
      </c>
      <c r="H1985" s="6" t="s">
        <v>182</v>
      </c>
      <c r="I1985" s="8" t="s">
        <v>40</v>
      </c>
      <c r="J1985" s="9">
        <v>1</v>
      </c>
      <c r="K1985" s="9">
        <v>282</v>
      </c>
      <c r="L1985" s="9">
        <v>2017</v>
      </c>
      <c r="M1985" s="8" t="s">
        <v>11413</v>
      </c>
      <c r="N1985" s="8" t="s">
        <v>42</v>
      </c>
      <c r="O1985" s="8" t="s">
        <v>101</v>
      </c>
      <c r="P1985" s="6" t="s">
        <v>44</v>
      </c>
      <c r="Q1985" s="8" t="s">
        <v>45</v>
      </c>
      <c r="R1985" s="10" t="s">
        <v>269</v>
      </c>
      <c r="S1985" s="11"/>
      <c r="T1985" s="6"/>
      <c r="U1985" s="24" t="str">
        <f>HYPERLINK("https://media.infra-m.ru/0851/0851217/cover/851217.jpg", "Обложка")</f>
        <v>Обложка</v>
      </c>
      <c r="V1985" s="24" t="str">
        <f>HYPERLINK("https://znanium.ru/catalog/product/1150953", "Ознакомиться")</f>
        <v>Ознакомиться</v>
      </c>
      <c r="W1985" s="8"/>
      <c r="X1985" s="6"/>
      <c r="Y1985" s="6"/>
      <c r="Z1985" s="6"/>
      <c r="AA1985" s="6" t="s">
        <v>377</v>
      </c>
      <c r="AB1985" s="8"/>
    </row>
    <row r="1986" spans="1:28" s="4" customFormat="1" ht="51.95" customHeight="1">
      <c r="A1986" s="5">
        <v>0</v>
      </c>
      <c r="B1986" s="6" t="s">
        <v>11414</v>
      </c>
      <c r="C1986" s="7">
        <v>1272</v>
      </c>
      <c r="D1986" s="8" t="s">
        <v>11415</v>
      </c>
      <c r="E1986" s="8" t="s">
        <v>11416</v>
      </c>
      <c r="F1986" s="8" t="s">
        <v>8257</v>
      </c>
      <c r="G1986" s="6" t="s">
        <v>132</v>
      </c>
      <c r="H1986" s="6" t="s">
        <v>39</v>
      </c>
      <c r="I1986" s="8" t="s">
        <v>40</v>
      </c>
      <c r="J1986" s="9">
        <v>1</v>
      </c>
      <c r="K1986" s="9">
        <v>223</v>
      </c>
      <c r="L1986" s="9">
        <v>2024</v>
      </c>
      <c r="M1986" s="8" t="s">
        <v>11417</v>
      </c>
      <c r="N1986" s="8" t="s">
        <v>42</v>
      </c>
      <c r="O1986" s="8" t="s">
        <v>101</v>
      </c>
      <c r="P1986" s="6" t="s">
        <v>44</v>
      </c>
      <c r="Q1986" s="8" t="s">
        <v>45</v>
      </c>
      <c r="R1986" s="10" t="s">
        <v>390</v>
      </c>
      <c r="S1986" s="11"/>
      <c r="T1986" s="6"/>
      <c r="U1986" s="24" t="str">
        <f>HYPERLINK("https://media.infra-m.ru/1989/1989216/cover/1989216.jpg", "Обложка")</f>
        <v>Обложка</v>
      </c>
      <c r="V1986" s="24" t="str">
        <f>HYPERLINK("https://znanium.ru/catalog/product/1989216", "Ознакомиться")</f>
        <v>Ознакомиться</v>
      </c>
      <c r="W1986" s="8" t="s">
        <v>3675</v>
      </c>
      <c r="X1986" s="6"/>
      <c r="Y1986" s="6"/>
      <c r="Z1986" s="6"/>
      <c r="AA1986" s="6" t="s">
        <v>58</v>
      </c>
      <c r="AB1986" s="8"/>
    </row>
    <row r="1987" spans="1:28" s="4" customFormat="1" ht="51.95" customHeight="1">
      <c r="A1987" s="5">
        <v>0</v>
      </c>
      <c r="B1987" s="6" t="s">
        <v>11418</v>
      </c>
      <c r="C1987" s="7">
        <v>1456.8</v>
      </c>
      <c r="D1987" s="8" t="s">
        <v>11419</v>
      </c>
      <c r="E1987" s="8" t="s">
        <v>11420</v>
      </c>
      <c r="F1987" s="8" t="s">
        <v>3017</v>
      </c>
      <c r="G1987" s="6" t="s">
        <v>81</v>
      </c>
      <c r="H1987" s="6" t="s">
        <v>99</v>
      </c>
      <c r="I1987" s="8"/>
      <c r="J1987" s="9">
        <v>1</v>
      </c>
      <c r="K1987" s="9">
        <v>240</v>
      </c>
      <c r="L1987" s="9">
        <v>2023</v>
      </c>
      <c r="M1987" s="8" t="s">
        <v>11421</v>
      </c>
      <c r="N1987" s="8" t="s">
        <v>42</v>
      </c>
      <c r="O1987" s="8" t="s">
        <v>101</v>
      </c>
      <c r="P1987" s="6" t="s">
        <v>44</v>
      </c>
      <c r="Q1987" s="8" t="s">
        <v>45</v>
      </c>
      <c r="R1987" s="10" t="s">
        <v>680</v>
      </c>
      <c r="S1987" s="11"/>
      <c r="T1987" s="6"/>
      <c r="U1987" s="24" t="str">
        <f>HYPERLINK("https://media.infra-m.ru/2190/2190429/cover/2190429.jpg", "Обложка")</f>
        <v>Обложка</v>
      </c>
      <c r="V1987" s="24" t="str">
        <f>HYPERLINK("https://znanium.ru/catalog/product/2168167", "Ознакомиться")</f>
        <v>Ознакомиться</v>
      </c>
      <c r="W1987" s="8" t="s">
        <v>418</v>
      </c>
      <c r="X1987" s="6"/>
      <c r="Y1987" s="6"/>
      <c r="Z1987" s="6"/>
      <c r="AA1987" s="6" t="s">
        <v>68</v>
      </c>
      <c r="AB1987" s="8"/>
    </row>
    <row r="1988" spans="1:28" s="4" customFormat="1" ht="42" customHeight="1">
      <c r="A1988" s="5">
        <v>0</v>
      </c>
      <c r="B1988" s="6" t="s">
        <v>11422</v>
      </c>
      <c r="C1988" s="7">
        <v>3708</v>
      </c>
      <c r="D1988" s="8" t="s">
        <v>11423</v>
      </c>
      <c r="E1988" s="8" t="s">
        <v>11424</v>
      </c>
      <c r="F1988" s="8" t="s">
        <v>11425</v>
      </c>
      <c r="G1988" s="6" t="s">
        <v>132</v>
      </c>
      <c r="H1988" s="6" t="s">
        <v>39</v>
      </c>
      <c r="I1988" s="8" t="s">
        <v>851</v>
      </c>
      <c r="J1988" s="9">
        <v>1</v>
      </c>
      <c r="K1988" s="9">
        <v>718</v>
      </c>
      <c r="L1988" s="9">
        <v>2026</v>
      </c>
      <c r="M1988" s="8" t="s">
        <v>11426</v>
      </c>
      <c r="N1988" s="8" t="s">
        <v>54</v>
      </c>
      <c r="O1988" s="8" t="s">
        <v>55</v>
      </c>
      <c r="P1988" s="6" t="s">
        <v>659</v>
      </c>
      <c r="Q1988" s="8" t="s">
        <v>45</v>
      </c>
      <c r="R1988" s="10" t="s">
        <v>11427</v>
      </c>
      <c r="S1988" s="11"/>
      <c r="T1988" s="6"/>
      <c r="U1988" s="24" t="str">
        <f>HYPERLINK("https://media.infra-m.ru/2216/2216045/cover/2216045.jpg", "Обложка")</f>
        <v>Обложка</v>
      </c>
      <c r="V1988" s="24" t="str">
        <f>HYPERLINK("https://znanium.ru/catalog/product/2216045", "Ознакомиться")</f>
        <v>Ознакомиться</v>
      </c>
      <c r="W1988" s="8" t="s">
        <v>191</v>
      </c>
      <c r="X1988" s="6"/>
      <c r="Y1988" s="6"/>
      <c r="Z1988" s="6"/>
      <c r="AA1988" s="6" t="s">
        <v>377</v>
      </c>
      <c r="AB1988" s="8"/>
    </row>
    <row r="1989" spans="1:28" s="4" customFormat="1" ht="42" customHeight="1">
      <c r="A1989" s="5">
        <v>0</v>
      </c>
      <c r="B1989" s="6" t="s">
        <v>11428</v>
      </c>
      <c r="C1989" s="13">
        <v>624</v>
      </c>
      <c r="D1989" s="8" t="s">
        <v>11429</v>
      </c>
      <c r="E1989" s="8" t="s">
        <v>11430</v>
      </c>
      <c r="F1989" s="8" t="s">
        <v>11431</v>
      </c>
      <c r="G1989" s="6" t="s">
        <v>38</v>
      </c>
      <c r="H1989" s="6" t="s">
        <v>39</v>
      </c>
      <c r="I1989" s="8" t="s">
        <v>5161</v>
      </c>
      <c r="J1989" s="9">
        <v>1</v>
      </c>
      <c r="K1989" s="9">
        <v>160</v>
      </c>
      <c r="L1989" s="9">
        <v>2020</v>
      </c>
      <c r="M1989" s="8" t="s">
        <v>11432</v>
      </c>
      <c r="N1989" s="8" t="s">
        <v>54</v>
      </c>
      <c r="O1989" s="8" t="s">
        <v>55</v>
      </c>
      <c r="P1989" s="6" t="s">
        <v>659</v>
      </c>
      <c r="Q1989" s="8" t="s">
        <v>45</v>
      </c>
      <c r="R1989" s="10" t="s">
        <v>56</v>
      </c>
      <c r="S1989" s="11"/>
      <c r="T1989" s="6"/>
      <c r="U1989" s="24" t="str">
        <f>HYPERLINK("https://media.infra-m.ru/1039/1039306/cover/1039306.jpg", "Обложка")</f>
        <v>Обложка</v>
      </c>
      <c r="V1989" s="24" t="str">
        <f>HYPERLINK("https://znanium.ru/catalog/product/1039306", "Ознакомиться")</f>
        <v>Ознакомиться</v>
      </c>
      <c r="W1989" s="8" t="s">
        <v>191</v>
      </c>
      <c r="X1989" s="6"/>
      <c r="Y1989" s="6"/>
      <c r="Z1989" s="6"/>
      <c r="AA1989" s="6" t="s">
        <v>127</v>
      </c>
      <c r="AB1989" s="8"/>
    </row>
    <row r="1990" spans="1:28" s="4" customFormat="1" ht="51.95" customHeight="1">
      <c r="A1990" s="5">
        <v>0</v>
      </c>
      <c r="B1990" s="6" t="s">
        <v>11433</v>
      </c>
      <c r="C1990" s="7">
        <v>1056</v>
      </c>
      <c r="D1990" s="8" t="s">
        <v>11434</v>
      </c>
      <c r="E1990" s="8" t="s">
        <v>11435</v>
      </c>
      <c r="F1990" s="8" t="s">
        <v>11436</v>
      </c>
      <c r="G1990" s="6" t="s">
        <v>81</v>
      </c>
      <c r="H1990" s="6" t="s">
        <v>39</v>
      </c>
      <c r="I1990" s="8" t="s">
        <v>828</v>
      </c>
      <c r="J1990" s="9">
        <v>1</v>
      </c>
      <c r="K1990" s="9">
        <v>176</v>
      </c>
      <c r="L1990" s="9">
        <v>2025</v>
      </c>
      <c r="M1990" s="8" t="s">
        <v>11437</v>
      </c>
      <c r="N1990" s="8" t="s">
        <v>54</v>
      </c>
      <c r="O1990" s="8" t="s">
        <v>55</v>
      </c>
      <c r="P1990" s="6" t="s">
        <v>659</v>
      </c>
      <c r="Q1990" s="8" t="s">
        <v>45</v>
      </c>
      <c r="R1990" s="10" t="s">
        <v>11438</v>
      </c>
      <c r="S1990" s="11"/>
      <c r="T1990" s="6"/>
      <c r="U1990" s="24" t="str">
        <f>HYPERLINK("https://media.infra-m.ru/2171/2171239/cover/2171239.jpg", "Обложка")</f>
        <v>Обложка</v>
      </c>
      <c r="V1990" s="24" t="str">
        <f>HYPERLINK("https://znanium.ru/catalog/product/2232493", "Ознакомиться")</f>
        <v>Ознакомиться</v>
      </c>
      <c r="W1990" s="8" t="s">
        <v>2047</v>
      </c>
      <c r="X1990" s="6"/>
      <c r="Y1990" s="6"/>
      <c r="Z1990" s="6"/>
      <c r="AA1990" s="6" t="s">
        <v>119</v>
      </c>
      <c r="AB1990" s="8"/>
    </row>
    <row r="1991" spans="1:28" s="4" customFormat="1" ht="51.95" customHeight="1">
      <c r="A1991" s="5">
        <v>0</v>
      </c>
      <c r="B1991" s="6" t="s">
        <v>11439</v>
      </c>
      <c r="C1991" s="7">
        <v>3456</v>
      </c>
      <c r="D1991" s="8" t="s">
        <v>11440</v>
      </c>
      <c r="E1991" s="8" t="s">
        <v>11441</v>
      </c>
      <c r="F1991" s="8" t="s">
        <v>11442</v>
      </c>
      <c r="G1991" s="6" t="s">
        <v>81</v>
      </c>
      <c r="H1991" s="6" t="s">
        <v>3369</v>
      </c>
      <c r="I1991" s="8" t="s">
        <v>851</v>
      </c>
      <c r="J1991" s="9">
        <v>1</v>
      </c>
      <c r="K1991" s="9">
        <v>608</v>
      </c>
      <c r="L1991" s="9">
        <v>2003</v>
      </c>
      <c r="M1991" s="8" t="s">
        <v>11443</v>
      </c>
      <c r="N1991" s="8" t="s">
        <v>42</v>
      </c>
      <c r="O1991" s="8" t="s">
        <v>189</v>
      </c>
      <c r="P1991" s="6" t="s">
        <v>659</v>
      </c>
      <c r="Q1991" s="8" t="s">
        <v>45</v>
      </c>
      <c r="R1991" s="10" t="s">
        <v>11444</v>
      </c>
      <c r="S1991" s="11"/>
      <c r="T1991" s="6"/>
      <c r="U1991" s="12"/>
      <c r="V1991" s="12"/>
      <c r="W1991" s="8" t="s">
        <v>516</v>
      </c>
      <c r="X1991" s="6"/>
      <c r="Y1991" s="6"/>
      <c r="Z1991" s="6"/>
      <c r="AA1991" s="6" t="s">
        <v>3151</v>
      </c>
      <c r="AB1991" s="8"/>
    </row>
    <row r="1992" spans="1:28" s="4" customFormat="1" ht="51.95" customHeight="1">
      <c r="A1992" s="5">
        <v>0</v>
      </c>
      <c r="B1992" s="6" t="s">
        <v>11445</v>
      </c>
      <c r="C1992" s="13">
        <v>676.8</v>
      </c>
      <c r="D1992" s="8" t="s">
        <v>11446</v>
      </c>
      <c r="E1992" s="8" t="s">
        <v>11447</v>
      </c>
      <c r="F1992" s="8" t="s">
        <v>11448</v>
      </c>
      <c r="G1992" s="6" t="s">
        <v>38</v>
      </c>
      <c r="H1992" s="6" t="s">
        <v>326</v>
      </c>
      <c r="I1992" s="8" t="s">
        <v>11449</v>
      </c>
      <c r="J1992" s="9">
        <v>1</v>
      </c>
      <c r="K1992" s="9">
        <v>112</v>
      </c>
      <c r="L1992" s="9">
        <v>2025</v>
      </c>
      <c r="M1992" s="8" t="s">
        <v>11450</v>
      </c>
      <c r="N1992" s="8" t="s">
        <v>284</v>
      </c>
      <c r="O1992" s="8" t="s">
        <v>482</v>
      </c>
      <c r="P1992" s="6" t="s">
        <v>659</v>
      </c>
      <c r="Q1992" s="8" t="s">
        <v>2024</v>
      </c>
      <c r="R1992" s="10" t="s">
        <v>11451</v>
      </c>
      <c r="S1992" s="11" t="s">
        <v>11452</v>
      </c>
      <c r="T1992" s="6"/>
      <c r="U1992" s="24" t="str">
        <f>HYPERLINK("https://media.infra-m.ru/2188/2188213/cover/2188213.jpg", "Обложка")</f>
        <v>Обложка</v>
      </c>
      <c r="V1992" s="24" t="str">
        <f>HYPERLINK("https://znanium.ru/catalog/product/1280629", "Ознакомиться")</f>
        <v>Ознакомиться</v>
      </c>
      <c r="W1992" s="8" t="s">
        <v>11453</v>
      </c>
      <c r="X1992" s="6"/>
      <c r="Y1992" s="6"/>
      <c r="Z1992" s="6"/>
      <c r="AA1992" s="6" t="s">
        <v>1556</v>
      </c>
      <c r="AB1992" s="8"/>
    </row>
    <row r="1993" spans="1:28" s="4" customFormat="1" ht="51.95" customHeight="1">
      <c r="A1993" s="5">
        <v>0</v>
      </c>
      <c r="B1993" s="6" t="s">
        <v>11454</v>
      </c>
      <c r="C1993" s="7">
        <v>1308</v>
      </c>
      <c r="D1993" s="8" t="s">
        <v>11455</v>
      </c>
      <c r="E1993" s="8" t="s">
        <v>11456</v>
      </c>
      <c r="F1993" s="8" t="s">
        <v>72</v>
      </c>
      <c r="G1993" s="6" t="s">
        <v>132</v>
      </c>
      <c r="H1993" s="6" t="s">
        <v>39</v>
      </c>
      <c r="I1993" s="8" t="s">
        <v>40</v>
      </c>
      <c r="J1993" s="9">
        <v>1</v>
      </c>
      <c r="K1993" s="9">
        <v>219</v>
      </c>
      <c r="L1993" s="9">
        <v>2024</v>
      </c>
      <c r="M1993" s="8" t="s">
        <v>11457</v>
      </c>
      <c r="N1993" s="8" t="s">
        <v>54</v>
      </c>
      <c r="O1993" s="8" t="s">
        <v>55</v>
      </c>
      <c r="P1993" s="6" t="s">
        <v>44</v>
      </c>
      <c r="Q1993" s="8" t="s">
        <v>45</v>
      </c>
      <c r="R1993" s="10" t="s">
        <v>11458</v>
      </c>
      <c r="S1993" s="11"/>
      <c r="T1993" s="6"/>
      <c r="U1993" s="24" t="str">
        <f>HYPERLINK("https://media.infra-m.ru/2131/2131278/cover/2131278.jpg", "Обложка")</f>
        <v>Обложка</v>
      </c>
      <c r="V1993" s="24" t="str">
        <f>HYPERLINK("https://znanium.ru/catalog/product/2131278", "Ознакомиться")</f>
        <v>Ознакомиться</v>
      </c>
      <c r="W1993" s="8" t="s">
        <v>75</v>
      </c>
      <c r="X1993" s="6"/>
      <c r="Y1993" s="6"/>
      <c r="Z1993" s="6"/>
      <c r="AA1993" s="6" t="s">
        <v>58</v>
      </c>
      <c r="AB1993" s="8" t="s">
        <v>766</v>
      </c>
    </row>
    <row r="1994" spans="1:28" s="4" customFormat="1" ht="44.1" customHeight="1">
      <c r="A1994" s="5">
        <v>0</v>
      </c>
      <c r="B1994" s="6" t="s">
        <v>11459</v>
      </c>
      <c r="C1994" s="13">
        <v>792</v>
      </c>
      <c r="D1994" s="8" t="s">
        <v>11460</v>
      </c>
      <c r="E1994" s="8" t="s">
        <v>11461</v>
      </c>
      <c r="F1994" s="8" t="s">
        <v>11462</v>
      </c>
      <c r="G1994" s="6" t="s">
        <v>38</v>
      </c>
      <c r="H1994" s="6" t="s">
        <v>39</v>
      </c>
      <c r="I1994" s="8" t="s">
        <v>40</v>
      </c>
      <c r="J1994" s="9">
        <v>1</v>
      </c>
      <c r="K1994" s="9">
        <v>121</v>
      </c>
      <c r="L1994" s="9">
        <v>2024</v>
      </c>
      <c r="M1994" s="8" t="s">
        <v>11463</v>
      </c>
      <c r="N1994" s="8" t="s">
        <v>54</v>
      </c>
      <c r="O1994" s="8" t="s">
        <v>55</v>
      </c>
      <c r="P1994" s="6" t="s">
        <v>44</v>
      </c>
      <c r="Q1994" s="8" t="s">
        <v>45</v>
      </c>
      <c r="R1994" s="10" t="s">
        <v>11464</v>
      </c>
      <c r="S1994" s="11"/>
      <c r="T1994" s="6"/>
      <c r="U1994" s="24" t="str">
        <f>HYPERLINK("https://media.infra-m.ru/2106/2106742/cover/2106742.jpg", "Обложка")</f>
        <v>Обложка</v>
      </c>
      <c r="V1994" s="24" t="str">
        <f>HYPERLINK("https://znanium.ru/catalog/product/2106742", "Ознакомиться")</f>
        <v>Ознакомиться</v>
      </c>
      <c r="W1994" s="8" t="s">
        <v>10249</v>
      </c>
      <c r="X1994" s="6"/>
      <c r="Y1994" s="6"/>
      <c r="Z1994" s="6"/>
      <c r="AA1994" s="6" t="s">
        <v>168</v>
      </c>
      <c r="AB1994" s="8"/>
    </row>
    <row r="1995" spans="1:28" s="4" customFormat="1" ht="51.95" customHeight="1">
      <c r="A1995" s="5">
        <v>0</v>
      </c>
      <c r="B1995" s="6" t="s">
        <v>11465</v>
      </c>
      <c r="C1995" s="13">
        <v>708</v>
      </c>
      <c r="D1995" s="8" t="s">
        <v>11466</v>
      </c>
      <c r="E1995" s="8" t="s">
        <v>11467</v>
      </c>
      <c r="F1995" s="8" t="s">
        <v>11468</v>
      </c>
      <c r="G1995" s="6" t="s">
        <v>38</v>
      </c>
      <c r="H1995" s="6" t="s">
        <v>39</v>
      </c>
      <c r="I1995" s="8" t="s">
        <v>40</v>
      </c>
      <c r="J1995" s="9">
        <v>1</v>
      </c>
      <c r="K1995" s="9">
        <v>128</v>
      </c>
      <c r="L1995" s="9">
        <v>2024</v>
      </c>
      <c r="M1995" s="8" t="s">
        <v>11469</v>
      </c>
      <c r="N1995" s="8" t="s">
        <v>54</v>
      </c>
      <c r="O1995" s="8" t="s">
        <v>55</v>
      </c>
      <c r="P1995" s="6" t="s">
        <v>44</v>
      </c>
      <c r="Q1995" s="8" t="s">
        <v>45</v>
      </c>
      <c r="R1995" s="10" t="s">
        <v>5374</v>
      </c>
      <c r="S1995" s="11"/>
      <c r="T1995" s="6"/>
      <c r="U1995" s="24" t="str">
        <f>HYPERLINK("https://media.infra-m.ru/2080/2080776/cover/2080776.jpg", "Обложка")</f>
        <v>Обложка</v>
      </c>
      <c r="V1995" s="24" t="str">
        <f>HYPERLINK("https://znanium.ru/catalog/product/2080776", "Ознакомиться")</f>
        <v>Ознакомиться</v>
      </c>
      <c r="W1995" s="8" t="s">
        <v>817</v>
      </c>
      <c r="X1995" s="6"/>
      <c r="Y1995" s="6"/>
      <c r="Z1995" s="6"/>
      <c r="AA1995" s="6" t="s">
        <v>127</v>
      </c>
      <c r="AB1995" s="8"/>
    </row>
    <row r="1996" spans="1:28" s="4" customFormat="1" ht="51.95" customHeight="1">
      <c r="A1996" s="5">
        <v>0</v>
      </c>
      <c r="B1996" s="6" t="s">
        <v>11470</v>
      </c>
      <c r="C1996" s="7">
        <v>1044</v>
      </c>
      <c r="D1996" s="8" t="s">
        <v>11471</v>
      </c>
      <c r="E1996" s="8" t="s">
        <v>11472</v>
      </c>
      <c r="F1996" s="8" t="s">
        <v>1996</v>
      </c>
      <c r="G1996" s="6" t="s">
        <v>38</v>
      </c>
      <c r="H1996" s="6" t="s">
        <v>39</v>
      </c>
      <c r="I1996" s="8" t="s">
        <v>173</v>
      </c>
      <c r="J1996" s="9">
        <v>1</v>
      </c>
      <c r="K1996" s="9">
        <v>173</v>
      </c>
      <c r="L1996" s="9">
        <v>2025</v>
      </c>
      <c r="M1996" s="8" t="s">
        <v>11473</v>
      </c>
      <c r="N1996" s="8" t="s">
        <v>42</v>
      </c>
      <c r="O1996" s="8" t="s">
        <v>43</v>
      </c>
      <c r="P1996" s="6" t="s">
        <v>44</v>
      </c>
      <c r="Q1996" s="8" t="s">
        <v>3762</v>
      </c>
      <c r="R1996" s="10" t="s">
        <v>5182</v>
      </c>
      <c r="S1996" s="11"/>
      <c r="T1996" s="6"/>
      <c r="U1996" s="24" t="str">
        <f>HYPERLINK("https://media.infra-m.ru/2184/2184876/cover/2184876.jpg", "Обложка")</f>
        <v>Обложка</v>
      </c>
      <c r="V1996" s="24" t="str">
        <f>HYPERLINK("https://znanium.ru/catalog/product/2184876", "Ознакомиться")</f>
        <v>Ознакомиться</v>
      </c>
      <c r="W1996" s="8" t="s">
        <v>176</v>
      </c>
      <c r="X1996" s="6"/>
      <c r="Y1996" s="6"/>
      <c r="Z1996" s="6"/>
      <c r="AA1996" s="6" t="s">
        <v>168</v>
      </c>
      <c r="AB1996" s="8"/>
    </row>
    <row r="1997" spans="1:28" s="4" customFormat="1" ht="42" customHeight="1">
      <c r="A1997" s="5">
        <v>0</v>
      </c>
      <c r="B1997" s="6" t="s">
        <v>11474</v>
      </c>
      <c r="C1997" s="7">
        <v>1156.8</v>
      </c>
      <c r="D1997" s="8" t="s">
        <v>11475</v>
      </c>
      <c r="E1997" s="8" t="s">
        <v>11476</v>
      </c>
      <c r="F1997" s="8" t="s">
        <v>11477</v>
      </c>
      <c r="G1997" s="6" t="s">
        <v>132</v>
      </c>
      <c r="H1997" s="6" t="s">
        <v>99</v>
      </c>
      <c r="I1997" s="8"/>
      <c r="J1997" s="9">
        <v>1</v>
      </c>
      <c r="K1997" s="9">
        <v>184</v>
      </c>
      <c r="L1997" s="9">
        <v>2026</v>
      </c>
      <c r="M1997" s="8" t="s">
        <v>11478</v>
      </c>
      <c r="N1997" s="8" t="s">
        <v>42</v>
      </c>
      <c r="O1997" s="8" t="s">
        <v>101</v>
      </c>
      <c r="P1997" s="6" t="s">
        <v>44</v>
      </c>
      <c r="Q1997" s="8" t="s">
        <v>45</v>
      </c>
      <c r="R1997" s="10" t="s">
        <v>2490</v>
      </c>
      <c r="S1997" s="11"/>
      <c r="T1997" s="6"/>
      <c r="U1997" s="24" t="str">
        <f>HYPERLINK("https://media.infra-m.ru/2221/2221454/cover/2221454.jpg", "Обложка")</f>
        <v>Обложка</v>
      </c>
      <c r="V1997" s="24" t="str">
        <f>HYPERLINK("https://znanium.ru/catalog/product/2192318", "Ознакомиться")</f>
        <v>Ознакомиться</v>
      </c>
      <c r="W1997" s="8" t="s">
        <v>535</v>
      </c>
      <c r="X1997" s="6"/>
      <c r="Y1997" s="6"/>
      <c r="Z1997" s="6"/>
      <c r="AA1997" s="6" t="s">
        <v>199</v>
      </c>
      <c r="AB1997" s="8"/>
    </row>
    <row r="1998" spans="1:28" s="4" customFormat="1" ht="44.1" customHeight="1">
      <c r="A1998" s="5">
        <v>0</v>
      </c>
      <c r="B1998" s="6" t="s">
        <v>11479</v>
      </c>
      <c r="C1998" s="13">
        <v>816</v>
      </c>
      <c r="D1998" s="8" t="s">
        <v>11480</v>
      </c>
      <c r="E1998" s="8" t="s">
        <v>11481</v>
      </c>
      <c r="F1998" s="8" t="s">
        <v>697</v>
      </c>
      <c r="G1998" s="6" t="s">
        <v>38</v>
      </c>
      <c r="H1998" s="6" t="s">
        <v>39</v>
      </c>
      <c r="I1998" s="8" t="s">
        <v>40</v>
      </c>
      <c r="J1998" s="9">
        <v>1</v>
      </c>
      <c r="K1998" s="9">
        <v>175</v>
      </c>
      <c r="L1998" s="9">
        <v>2020</v>
      </c>
      <c r="M1998" s="8" t="s">
        <v>11482</v>
      </c>
      <c r="N1998" s="8" t="s">
        <v>54</v>
      </c>
      <c r="O1998" s="8" t="s">
        <v>91</v>
      </c>
      <c r="P1998" s="6" t="s">
        <v>44</v>
      </c>
      <c r="Q1998" s="8" t="s">
        <v>45</v>
      </c>
      <c r="R1998" s="10" t="s">
        <v>11483</v>
      </c>
      <c r="S1998" s="11"/>
      <c r="T1998" s="6"/>
      <c r="U1998" s="24" t="str">
        <f>HYPERLINK("https://media.infra-m.ru/1016/1016656/cover/1016656.jpg", "Обложка")</f>
        <v>Обложка</v>
      </c>
      <c r="V1998" s="24" t="str">
        <f>HYPERLINK("https://znanium.ru/catalog/product/1016656", "Ознакомиться")</f>
        <v>Ознакомиться</v>
      </c>
      <c r="W1998" s="8" t="s">
        <v>699</v>
      </c>
      <c r="X1998" s="6"/>
      <c r="Y1998" s="6"/>
      <c r="Z1998" s="6"/>
      <c r="AA1998" s="6" t="s">
        <v>168</v>
      </c>
      <c r="AB1998" s="8"/>
    </row>
    <row r="1999" spans="1:28" s="4" customFormat="1" ht="51.95" customHeight="1">
      <c r="A1999" s="5">
        <v>0</v>
      </c>
      <c r="B1999" s="6" t="s">
        <v>11484</v>
      </c>
      <c r="C1999" s="13">
        <v>736.8</v>
      </c>
      <c r="D1999" s="8" t="s">
        <v>11485</v>
      </c>
      <c r="E1999" s="8" t="s">
        <v>11486</v>
      </c>
      <c r="F1999" s="8" t="s">
        <v>11487</v>
      </c>
      <c r="G1999" s="6" t="s">
        <v>38</v>
      </c>
      <c r="H1999" s="6" t="s">
        <v>99</v>
      </c>
      <c r="I1999" s="8"/>
      <c r="J1999" s="9">
        <v>1</v>
      </c>
      <c r="K1999" s="9">
        <v>112</v>
      </c>
      <c r="L1999" s="9">
        <v>2026</v>
      </c>
      <c r="M1999" s="8" t="s">
        <v>11488</v>
      </c>
      <c r="N1999" s="8" t="s">
        <v>42</v>
      </c>
      <c r="O1999" s="8" t="s">
        <v>101</v>
      </c>
      <c r="P1999" s="6" t="s">
        <v>44</v>
      </c>
      <c r="Q1999" s="8" t="s">
        <v>45</v>
      </c>
      <c r="R1999" s="10" t="s">
        <v>11489</v>
      </c>
      <c r="S1999" s="11"/>
      <c r="T1999" s="6"/>
      <c r="U1999" s="24" t="str">
        <f>HYPERLINK("https://media.infra-m.ru/2199/2199045/cover/2199045.jpg", "Обложка")</f>
        <v>Обложка</v>
      </c>
      <c r="V1999" s="24" t="str">
        <f>HYPERLINK("https://znanium.ru/catalog/product/1846282", "Ознакомиться")</f>
        <v>Ознакомиться</v>
      </c>
      <c r="W1999" s="8" t="s">
        <v>2935</v>
      </c>
      <c r="X1999" s="6"/>
      <c r="Y1999" s="6"/>
      <c r="Z1999" s="6"/>
      <c r="AA1999" s="6" t="s">
        <v>377</v>
      </c>
      <c r="AB1999" s="8"/>
    </row>
    <row r="2000" spans="1:28" s="4" customFormat="1" ht="51.95" customHeight="1">
      <c r="A2000" s="5">
        <v>0</v>
      </c>
      <c r="B2000" s="6" t="s">
        <v>11490</v>
      </c>
      <c r="C2000" s="13">
        <v>552.5</v>
      </c>
      <c r="D2000" s="8" t="s">
        <v>11491</v>
      </c>
      <c r="E2000" s="8" t="s">
        <v>11492</v>
      </c>
      <c r="F2000" s="8" t="s">
        <v>11493</v>
      </c>
      <c r="G2000" s="6" t="s">
        <v>4307</v>
      </c>
      <c r="H2000" s="6" t="s">
        <v>4308</v>
      </c>
      <c r="I2000" s="8"/>
      <c r="J2000" s="9">
        <v>4</v>
      </c>
      <c r="K2000" s="9">
        <v>616</v>
      </c>
      <c r="L2000" s="9">
        <v>2013</v>
      </c>
      <c r="M2000" s="8" t="s">
        <v>11494</v>
      </c>
      <c r="N2000" s="8" t="s">
        <v>42</v>
      </c>
      <c r="O2000" s="8" t="s">
        <v>65</v>
      </c>
      <c r="P2000" s="6" t="s">
        <v>2307</v>
      </c>
      <c r="Q2000" s="8"/>
      <c r="R2000" s="10" t="s">
        <v>11495</v>
      </c>
      <c r="S2000" s="11"/>
      <c r="T2000" s="6"/>
      <c r="U2000" s="12"/>
      <c r="V2000" s="24" t="str">
        <f>HYPERLINK("https://znanium.ru/catalog/product/1222854", "Ознакомиться")</f>
        <v>Ознакомиться</v>
      </c>
      <c r="W2000" s="8" t="s">
        <v>191</v>
      </c>
      <c r="X2000" s="6"/>
      <c r="Y2000" s="6"/>
      <c r="Z2000" s="6"/>
      <c r="AA2000" s="6" t="s">
        <v>127</v>
      </c>
      <c r="AB2000" s="8"/>
    </row>
    <row r="2001" spans="1:28" s="4" customFormat="1" ht="51.95" customHeight="1">
      <c r="A2001" s="5">
        <v>0</v>
      </c>
      <c r="B2001" s="6" t="s">
        <v>11496</v>
      </c>
      <c r="C2001" s="13">
        <v>552.5</v>
      </c>
      <c r="D2001" s="8" t="s">
        <v>11497</v>
      </c>
      <c r="E2001" s="8" t="s">
        <v>11492</v>
      </c>
      <c r="F2001" s="8" t="s">
        <v>11493</v>
      </c>
      <c r="G2001" s="6" t="s">
        <v>4307</v>
      </c>
      <c r="H2001" s="6" t="s">
        <v>4308</v>
      </c>
      <c r="I2001" s="8"/>
      <c r="J2001" s="9">
        <v>6</v>
      </c>
      <c r="K2001" s="9">
        <v>648</v>
      </c>
      <c r="L2001" s="9">
        <v>2012</v>
      </c>
      <c r="M2001" s="8" t="s">
        <v>11498</v>
      </c>
      <c r="N2001" s="8" t="s">
        <v>42</v>
      </c>
      <c r="O2001" s="8" t="s">
        <v>65</v>
      </c>
      <c r="P2001" s="6" t="s">
        <v>2307</v>
      </c>
      <c r="Q2001" s="8" t="s">
        <v>45</v>
      </c>
      <c r="R2001" s="10" t="s">
        <v>11495</v>
      </c>
      <c r="S2001" s="11"/>
      <c r="T2001" s="6"/>
      <c r="U2001" s="12"/>
      <c r="V2001" s="24" t="str">
        <f>HYPERLINK("https://znanium.ru/catalog/product/1222850", "Ознакомиться")</f>
        <v>Ознакомиться</v>
      </c>
      <c r="W2001" s="8" t="s">
        <v>191</v>
      </c>
      <c r="X2001" s="6"/>
      <c r="Y2001" s="6"/>
      <c r="Z2001" s="6"/>
      <c r="AA2001" s="6" t="s">
        <v>48</v>
      </c>
      <c r="AB2001" s="8"/>
    </row>
    <row r="2002" spans="1:28" s="4" customFormat="1" ht="51.95" customHeight="1">
      <c r="A2002" s="5">
        <v>0</v>
      </c>
      <c r="B2002" s="6" t="s">
        <v>11499</v>
      </c>
      <c r="C2002" s="13">
        <v>552.5</v>
      </c>
      <c r="D2002" s="8" t="s">
        <v>11500</v>
      </c>
      <c r="E2002" s="8" t="s">
        <v>11492</v>
      </c>
      <c r="F2002" s="8" t="s">
        <v>11501</v>
      </c>
      <c r="G2002" s="6" t="s">
        <v>4307</v>
      </c>
      <c r="H2002" s="6" t="s">
        <v>4308</v>
      </c>
      <c r="I2002" s="8"/>
      <c r="J2002" s="9">
        <v>6</v>
      </c>
      <c r="K2002" s="9">
        <v>608</v>
      </c>
      <c r="L2002" s="9">
        <v>2011</v>
      </c>
      <c r="M2002" s="8" t="s">
        <v>11502</v>
      </c>
      <c r="N2002" s="8" t="s">
        <v>42</v>
      </c>
      <c r="O2002" s="8" t="s">
        <v>65</v>
      </c>
      <c r="P2002" s="6" t="s">
        <v>2307</v>
      </c>
      <c r="Q2002" s="8"/>
      <c r="R2002" s="10" t="s">
        <v>11495</v>
      </c>
      <c r="S2002" s="11"/>
      <c r="T2002" s="6"/>
      <c r="U2002" s="12"/>
      <c r="V2002" s="24" t="str">
        <f>HYPERLINK("https://znanium.ru/catalog/product/1222848", "Ознакомиться")</f>
        <v>Ознакомиться</v>
      </c>
      <c r="W2002" s="8" t="s">
        <v>191</v>
      </c>
      <c r="X2002" s="6"/>
      <c r="Y2002" s="6"/>
      <c r="Z2002" s="6"/>
      <c r="AA2002" s="6" t="s">
        <v>94</v>
      </c>
      <c r="AB2002" s="8"/>
    </row>
    <row r="2003" spans="1:28" s="4" customFormat="1" ht="51.95" customHeight="1">
      <c r="A2003" s="5">
        <v>0</v>
      </c>
      <c r="B2003" s="6" t="s">
        <v>11503</v>
      </c>
      <c r="C2003" s="13">
        <v>552.5</v>
      </c>
      <c r="D2003" s="8" t="s">
        <v>11504</v>
      </c>
      <c r="E2003" s="8" t="s">
        <v>11492</v>
      </c>
      <c r="F2003" s="8" t="s">
        <v>11501</v>
      </c>
      <c r="G2003" s="6"/>
      <c r="H2003" s="6" t="s">
        <v>4308</v>
      </c>
      <c r="I2003" s="8"/>
      <c r="J2003" s="9">
        <v>6</v>
      </c>
      <c r="K2003" s="9">
        <v>648</v>
      </c>
      <c r="L2003" s="9">
        <v>2009</v>
      </c>
      <c r="M2003" s="8" t="s">
        <v>11505</v>
      </c>
      <c r="N2003" s="8" t="s">
        <v>42</v>
      </c>
      <c r="O2003" s="8" t="s">
        <v>65</v>
      </c>
      <c r="P2003" s="6" t="s">
        <v>2307</v>
      </c>
      <c r="Q2003" s="8" t="s">
        <v>45</v>
      </c>
      <c r="R2003" s="10" t="s">
        <v>11495</v>
      </c>
      <c r="S2003" s="11"/>
      <c r="T2003" s="6"/>
      <c r="U2003" s="12"/>
      <c r="V2003" s="24" t="str">
        <f>HYPERLINK("https://znanium.ru/catalog/product/1222828", "Ознакомиться")</f>
        <v>Ознакомиться</v>
      </c>
      <c r="W2003" s="8" t="s">
        <v>191</v>
      </c>
      <c r="X2003" s="6"/>
      <c r="Y2003" s="6"/>
      <c r="Z2003" s="6"/>
      <c r="AA2003" s="6" t="s">
        <v>241</v>
      </c>
      <c r="AB2003" s="8"/>
    </row>
    <row r="2004" spans="1:28" s="4" customFormat="1" ht="51.95" customHeight="1">
      <c r="A2004" s="5">
        <v>0</v>
      </c>
      <c r="B2004" s="6" t="s">
        <v>11506</v>
      </c>
      <c r="C2004" s="13">
        <v>552.5</v>
      </c>
      <c r="D2004" s="8" t="s">
        <v>11507</v>
      </c>
      <c r="E2004" s="8" t="s">
        <v>11492</v>
      </c>
      <c r="F2004" s="8" t="s">
        <v>11501</v>
      </c>
      <c r="G2004" s="6"/>
      <c r="H2004" s="6" t="s">
        <v>4308</v>
      </c>
      <c r="I2004" s="8"/>
      <c r="J2004" s="9">
        <v>1</v>
      </c>
      <c r="K2004" s="9">
        <v>600</v>
      </c>
      <c r="L2004" s="9">
        <v>2009</v>
      </c>
      <c r="M2004" s="8" t="s">
        <v>11508</v>
      </c>
      <c r="N2004" s="8" t="s">
        <v>42</v>
      </c>
      <c r="O2004" s="8" t="s">
        <v>65</v>
      </c>
      <c r="P2004" s="6" t="s">
        <v>2307</v>
      </c>
      <c r="Q2004" s="8" t="s">
        <v>45</v>
      </c>
      <c r="R2004" s="10" t="s">
        <v>11495</v>
      </c>
      <c r="S2004" s="11"/>
      <c r="T2004" s="6"/>
      <c r="U2004" s="12"/>
      <c r="V2004" s="24" t="str">
        <f>HYPERLINK("https://znanium.ru/catalog/product/1222832", "Ознакомиться")</f>
        <v>Ознакомиться</v>
      </c>
      <c r="W2004" s="8" t="s">
        <v>191</v>
      </c>
      <c r="X2004" s="6"/>
      <c r="Y2004" s="6"/>
      <c r="Z2004" s="6"/>
      <c r="AA2004" s="6" t="s">
        <v>241</v>
      </c>
      <c r="AB2004" s="8"/>
    </row>
    <row r="2005" spans="1:28" s="4" customFormat="1" ht="51.95" customHeight="1">
      <c r="A2005" s="5">
        <v>0</v>
      </c>
      <c r="B2005" s="6" t="s">
        <v>11509</v>
      </c>
      <c r="C2005" s="13">
        <v>552.5</v>
      </c>
      <c r="D2005" s="8" t="s">
        <v>11510</v>
      </c>
      <c r="E2005" s="8" t="s">
        <v>11492</v>
      </c>
      <c r="F2005" s="8" t="s">
        <v>11501</v>
      </c>
      <c r="G2005" s="6"/>
      <c r="H2005" s="6" t="s">
        <v>4308</v>
      </c>
      <c r="I2005" s="8"/>
      <c r="J2005" s="9">
        <v>6</v>
      </c>
      <c r="K2005" s="9">
        <v>640</v>
      </c>
      <c r="L2005" s="9">
        <v>2008</v>
      </c>
      <c r="M2005" s="8" t="s">
        <v>11511</v>
      </c>
      <c r="N2005" s="8" t="s">
        <v>42</v>
      </c>
      <c r="O2005" s="8" t="s">
        <v>65</v>
      </c>
      <c r="P2005" s="6" t="s">
        <v>2307</v>
      </c>
      <c r="Q2005" s="8" t="s">
        <v>45</v>
      </c>
      <c r="R2005" s="10" t="s">
        <v>11495</v>
      </c>
      <c r="S2005" s="11"/>
      <c r="T2005" s="6"/>
      <c r="U2005" s="12"/>
      <c r="V2005" s="24" t="str">
        <f>HYPERLINK("https://znanium.ru/catalog/product/1222820", "Ознакомиться")</f>
        <v>Ознакомиться</v>
      </c>
      <c r="W2005" s="8" t="s">
        <v>191</v>
      </c>
      <c r="X2005" s="6"/>
      <c r="Y2005" s="6"/>
      <c r="Z2005" s="6"/>
      <c r="AA2005" s="6" t="s">
        <v>1556</v>
      </c>
      <c r="AB2005" s="8"/>
    </row>
    <row r="2006" spans="1:28" s="4" customFormat="1" ht="42" customHeight="1">
      <c r="A2006" s="5">
        <v>0</v>
      </c>
      <c r="B2006" s="6" t="s">
        <v>11512</v>
      </c>
      <c r="C2006" s="7">
        <v>1768.8</v>
      </c>
      <c r="D2006" s="8" t="s">
        <v>11513</v>
      </c>
      <c r="E2006" s="8" t="s">
        <v>11514</v>
      </c>
      <c r="F2006" s="8" t="s">
        <v>6208</v>
      </c>
      <c r="G2006" s="6" t="s">
        <v>132</v>
      </c>
      <c r="H2006" s="6" t="s">
        <v>99</v>
      </c>
      <c r="I2006" s="8"/>
      <c r="J2006" s="9">
        <v>1</v>
      </c>
      <c r="K2006" s="9">
        <v>320</v>
      </c>
      <c r="L2006" s="9">
        <v>2023</v>
      </c>
      <c r="M2006" s="8" t="s">
        <v>11515</v>
      </c>
      <c r="N2006" s="8" t="s">
        <v>42</v>
      </c>
      <c r="O2006" s="8" t="s">
        <v>101</v>
      </c>
      <c r="P2006" s="6" t="s">
        <v>44</v>
      </c>
      <c r="Q2006" s="8" t="s">
        <v>45</v>
      </c>
      <c r="R2006" s="10" t="s">
        <v>564</v>
      </c>
      <c r="S2006" s="11"/>
      <c r="T2006" s="6"/>
      <c r="U2006" s="24" t="str">
        <f>HYPERLINK("https://media.infra-m.ru/2050/2050523/cover/2050523.jpg", "Обложка")</f>
        <v>Обложка</v>
      </c>
      <c r="V2006" s="24" t="str">
        <f>HYPERLINK("https://znanium.ru/catalog/product/1240965", "Ознакомиться")</f>
        <v>Ознакомиться</v>
      </c>
      <c r="W2006" s="8" t="s">
        <v>1627</v>
      </c>
      <c r="X2006" s="6"/>
      <c r="Y2006" s="6"/>
      <c r="Z2006" s="6"/>
      <c r="AA2006" s="6" t="s">
        <v>127</v>
      </c>
      <c r="AB2006" s="8"/>
    </row>
    <row r="2007" spans="1:28" s="4" customFormat="1" ht="42" customHeight="1">
      <c r="A2007" s="5">
        <v>0</v>
      </c>
      <c r="B2007" s="6" t="s">
        <v>11516</v>
      </c>
      <c r="C2007" s="7">
        <v>1020</v>
      </c>
      <c r="D2007" s="8" t="s">
        <v>11517</v>
      </c>
      <c r="E2007" s="8" t="s">
        <v>11518</v>
      </c>
      <c r="F2007" s="8" t="s">
        <v>11519</v>
      </c>
      <c r="G2007" s="6" t="s">
        <v>132</v>
      </c>
      <c r="H2007" s="6" t="s">
        <v>39</v>
      </c>
      <c r="I2007" s="8" t="s">
        <v>40</v>
      </c>
      <c r="J2007" s="9">
        <v>1</v>
      </c>
      <c r="K2007" s="9">
        <v>173</v>
      </c>
      <c r="L2007" s="9">
        <v>2023</v>
      </c>
      <c r="M2007" s="8" t="s">
        <v>11520</v>
      </c>
      <c r="N2007" s="8" t="s">
        <v>284</v>
      </c>
      <c r="O2007" s="8" t="s">
        <v>312</v>
      </c>
      <c r="P2007" s="6" t="s">
        <v>44</v>
      </c>
      <c r="Q2007" s="8" t="s">
        <v>45</v>
      </c>
      <c r="R2007" s="10" t="s">
        <v>11521</v>
      </c>
      <c r="S2007" s="11"/>
      <c r="T2007" s="6"/>
      <c r="U2007" s="24" t="str">
        <f>HYPERLINK("https://media.infra-m.ru/1974/1974287/cover/1974287.jpg", "Обложка")</f>
        <v>Обложка</v>
      </c>
      <c r="V2007" s="24" t="str">
        <f>HYPERLINK("https://znanium.ru/catalog/product/1974287", "Ознакомиться")</f>
        <v>Ознакомиться</v>
      </c>
      <c r="W2007" s="8" t="s">
        <v>191</v>
      </c>
      <c r="X2007" s="6"/>
      <c r="Y2007" s="6"/>
      <c r="Z2007" s="6"/>
      <c r="AA2007" s="6" t="s">
        <v>119</v>
      </c>
      <c r="AB2007" s="8"/>
    </row>
    <row r="2008" spans="1:28" s="4" customFormat="1" ht="42" customHeight="1">
      <c r="A2008" s="5">
        <v>0</v>
      </c>
      <c r="B2008" s="6" t="s">
        <v>11522</v>
      </c>
      <c r="C2008" s="13">
        <v>977.9</v>
      </c>
      <c r="D2008" s="8" t="s">
        <v>11523</v>
      </c>
      <c r="E2008" s="8" t="s">
        <v>11524</v>
      </c>
      <c r="F2008" s="8" t="s">
        <v>11525</v>
      </c>
      <c r="G2008" s="6" t="s">
        <v>132</v>
      </c>
      <c r="H2008" s="6" t="s">
        <v>39</v>
      </c>
      <c r="I2008" s="8" t="s">
        <v>40</v>
      </c>
      <c r="J2008" s="9">
        <v>1</v>
      </c>
      <c r="K2008" s="9">
        <v>234</v>
      </c>
      <c r="L2008" s="9">
        <v>2020</v>
      </c>
      <c r="M2008" s="8" t="s">
        <v>11526</v>
      </c>
      <c r="N2008" s="8" t="s">
        <v>42</v>
      </c>
      <c r="O2008" s="8" t="s">
        <v>189</v>
      </c>
      <c r="P2008" s="6" t="s">
        <v>44</v>
      </c>
      <c r="Q2008" s="8" t="s">
        <v>45</v>
      </c>
      <c r="R2008" s="10" t="s">
        <v>10915</v>
      </c>
      <c r="S2008" s="11"/>
      <c r="T2008" s="6"/>
      <c r="U2008" s="24" t="str">
        <f>HYPERLINK("https://media.infra-m.ru/1081/1081954/cover/1081954.jpg", "Обложка")</f>
        <v>Обложка</v>
      </c>
      <c r="V2008" s="24" t="str">
        <f>HYPERLINK("https://znanium.ru/catalog/product/941251", "Ознакомиться")</f>
        <v>Ознакомиться</v>
      </c>
      <c r="W2008" s="8" t="s">
        <v>516</v>
      </c>
      <c r="X2008" s="6"/>
      <c r="Y2008" s="6"/>
      <c r="Z2008" s="6"/>
      <c r="AA2008" s="6" t="s">
        <v>377</v>
      </c>
      <c r="AB2008" s="8"/>
    </row>
    <row r="2009" spans="1:28" s="4" customFormat="1" ht="51.95" customHeight="1">
      <c r="A2009" s="5">
        <v>0</v>
      </c>
      <c r="B2009" s="6" t="s">
        <v>11527</v>
      </c>
      <c r="C2009" s="7">
        <v>1588.8</v>
      </c>
      <c r="D2009" s="8" t="s">
        <v>11528</v>
      </c>
      <c r="E2009" s="8" t="s">
        <v>11529</v>
      </c>
      <c r="F2009" s="8" t="s">
        <v>11530</v>
      </c>
      <c r="G2009" s="6" t="s">
        <v>38</v>
      </c>
      <c r="H2009" s="6" t="s">
        <v>39</v>
      </c>
      <c r="I2009" s="8" t="s">
        <v>164</v>
      </c>
      <c r="J2009" s="9">
        <v>1</v>
      </c>
      <c r="K2009" s="9">
        <v>255</v>
      </c>
      <c r="L2009" s="9">
        <v>2025</v>
      </c>
      <c r="M2009" s="8" t="s">
        <v>11531</v>
      </c>
      <c r="N2009" s="8" t="s">
        <v>42</v>
      </c>
      <c r="O2009" s="8" t="s">
        <v>246</v>
      </c>
      <c r="P2009" s="6" t="s">
        <v>44</v>
      </c>
      <c r="Q2009" s="8" t="s">
        <v>45</v>
      </c>
      <c r="R2009" s="10" t="s">
        <v>11532</v>
      </c>
      <c r="S2009" s="11"/>
      <c r="T2009" s="6"/>
      <c r="U2009" s="24" t="str">
        <f>HYPERLINK("https://media.infra-m.ru/2208/2208447/cover/2208447.jpg", "Обложка")</f>
        <v>Обложка</v>
      </c>
      <c r="V2009" s="24" t="str">
        <f>HYPERLINK("https://znanium.ru/catalog/product/1048095", "Ознакомиться")</f>
        <v>Ознакомиться</v>
      </c>
      <c r="W2009" s="8" t="s">
        <v>167</v>
      </c>
      <c r="X2009" s="6"/>
      <c r="Y2009" s="6"/>
      <c r="Z2009" s="6"/>
      <c r="AA2009" s="6" t="s">
        <v>168</v>
      </c>
      <c r="AB2009" s="8"/>
    </row>
    <row r="2010" spans="1:28" s="4" customFormat="1" ht="42" customHeight="1">
      <c r="A2010" s="5">
        <v>0</v>
      </c>
      <c r="B2010" s="6" t="s">
        <v>11533</v>
      </c>
      <c r="C2010" s="13">
        <v>744</v>
      </c>
      <c r="D2010" s="8" t="s">
        <v>11534</v>
      </c>
      <c r="E2010" s="8" t="s">
        <v>11535</v>
      </c>
      <c r="F2010" s="8" t="s">
        <v>11536</v>
      </c>
      <c r="G2010" s="6" t="s">
        <v>38</v>
      </c>
      <c r="H2010" s="6" t="s">
        <v>39</v>
      </c>
      <c r="I2010" s="8" t="s">
        <v>40</v>
      </c>
      <c r="J2010" s="9">
        <v>1</v>
      </c>
      <c r="K2010" s="9">
        <v>138</v>
      </c>
      <c r="L2010" s="9">
        <v>2023</v>
      </c>
      <c r="M2010" s="8" t="s">
        <v>11537</v>
      </c>
      <c r="N2010" s="8" t="s">
        <v>229</v>
      </c>
      <c r="O2010" s="8" t="s">
        <v>230</v>
      </c>
      <c r="P2010" s="6" t="s">
        <v>44</v>
      </c>
      <c r="Q2010" s="8" t="s">
        <v>45</v>
      </c>
      <c r="R2010" s="10" t="s">
        <v>11538</v>
      </c>
      <c r="S2010" s="11"/>
      <c r="T2010" s="6"/>
      <c r="U2010" s="24" t="str">
        <f>HYPERLINK("https://media.infra-m.ru/1937/1937184/cover/1937184.jpg", "Обложка")</f>
        <v>Обложка</v>
      </c>
      <c r="V2010" s="24" t="str">
        <f>HYPERLINK("https://znanium.ru/catalog/product/1937184", "Ознакомиться")</f>
        <v>Ознакомиться</v>
      </c>
      <c r="W2010" s="8" t="s">
        <v>11539</v>
      </c>
      <c r="X2010" s="6"/>
      <c r="Y2010" s="6"/>
      <c r="Z2010" s="6"/>
      <c r="AA2010" s="6" t="s">
        <v>76</v>
      </c>
      <c r="AB2010" s="8"/>
    </row>
    <row r="2011" spans="1:28" s="4" customFormat="1" ht="42" customHeight="1">
      <c r="A2011" s="5">
        <v>0</v>
      </c>
      <c r="B2011" s="6" t="s">
        <v>11540</v>
      </c>
      <c r="C2011" s="13">
        <v>784.8</v>
      </c>
      <c r="D2011" s="8" t="s">
        <v>11541</v>
      </c>
      <c r="E2011" s="8" t="s">
        <v>11542</v>
      </c>
      <c r="F2011" s="8" t="s">
        <v>11543</v>
      </c>
      <c r="G2011" s="6" t="s">
        <v>38</v>
      </c>
      <c r="H2011" s="6" t="s">
        <v>39</v>
      </c>
      <c r="I2011" s="8" t="s">
        <v>344</v>
      </c>
      <c r="J2011" s="9">
        <v>1</v>
      </c>
      <c r="K2011" s="9">
        <v>146</v>
      </c>
      <c r="L2011" s="9">
        <v>2023</v>
      </c>
      <c r="M2011" s="8" t="s">
        <v>11544</v>
      </c>
      <c r="N2011" s="8" t="s">
        <v>284</v>
      </c>
      <c r="O2011" s="8" t="s">
        <v>285</v>
      </c>
      <c r="P2011" s="6" t="s">
        <v>44</v>
      </c>
      <c r="Q2011" s="8" t="s">
        <v>45</v>
      </c>
      <c r="R2011" s="10" t="s">
        <v>11545</v>
      </c>
      <c r="S2011" s="11"/>
      <c r="T2011" s="6"/>
      <c r="U2011" s="24" t="str">
        <f>HYPERLINK("https://media.infra-m.ru/2006/2006883/cover/2006883.jpg", "Обложка")</f>
        <v>Обложка</v>
      </c>
      <c r="V2011" s="12"/>
      <c r="W2011" s="8" t="s">
        <v>346</v>
      </c>
      <c r="X2011" s="6"/>
      <c r="Y2011" s="6"/>
      <c r="Z2011" s="6"/>
      <c r="AA2011" s="6" t="s">
        <v>68</v>
      </c>
      <c r="AB2011" s="8"/>
    </row>
    <row r="2012" spans="1:28" s="4" customFormat="1" ht="42" customHeight="1">
      <c r="A2012" s="5">
        <v>0</v>
      </c>
      <c r="B2012" s="6" t="s">
        <v>11546</v>
      </c>
      <c r="C2012" s="7">
        <v>1152</v>
      </c>
      <c r="D2012" s="8" t="s">
        <v>11547</v>
      </c>
      <c r="E2012" s="8" t="s">
        <v>11548</v>
      </c>
      <c r="F2012" s="8" t="s">
        <v>11549</v>
      </c>
      <c r="G2012" s="6" t="s">
        <v>38</v>
      </c>
      <c r="H2012" s="6" t="s">
        <v>39</v>
      </c>
      <c r="I2012" s="8" t="s">
        <v>40</v>
      </c>
      <c r="J2012" s="9">
        <v>1</v>
      </c>
      <c r="K2012" s="9">
        <v>206</v>
      </c>
      <c r="L2012" s="9">
        <v>2023</v>
      </c>
      <c r="M2012" s="8" t="s">
        <v>11550</v>
      </c>
      <c r="N2012" s="8" t="s">
        <v>284</v>
      </c>
      <c r="O2012" s="8" t="s">
        <v>482</v>
      </c>
      <c r="P2012" s="6" t="s">
        <v>44</v>
      </c>
      <c r="Q2012" s="8" t="s">
        <v>45</v>
      </c>
      <c r="R2012" s="10" t="s">
        <v>11551</v>
      </c>
      <c r="S2012" s="11"/>
      <c r="T2012" s="6"/>
      <c r="U2012" s="24" t="str">
        <f>HYPERLINK("https://media.infra-m.ru/1900/1900632/cover/1900632.jpg", "Обложка")</f>
        <v>Обложка</v>
      </c>
      <c r="V2012" s="24" t="str">
        <f>HYPERLINK("https://znanium.ru/catalog/product/1900632", "Ознакомиться")</f>
        <v>Ознакомиться</v>
      </c>
      <c r="W2012" s="8" t="s">
        <v>11552</v>
      </c>
      <c r="X2012" s="6"/>
      <c r="Y2012" s="6"/>
      <c r="Z2012" s="6"/>
      <c r="AA2012" s="6" t="s">
        <v>119</v>
      </c>
      <c r="AB2012" s="8" t="s">
        <v>1342</v>
      </c>
    </row>
    <row r="2013" spans="1:28" s="4" customFormat="1" ht="42" customHeight="1">
      <c r="A2013" s="5">
        <v>0</v>
      </c>
      <c r="B2013" s="6" t="s">
        <v>11553</v>
      </c>
      <c r="C2013" s="7">
        <v>1116</v>
      </c>
      <c r="D2013" s="8" t="s">
        <v>11554</v>
      </c>
      <c r="E2013" s="8" t="s">
        <v>11555</v>
      </c>
      <c r="F2013" s="8" t="s">
        <v>11556</v>
      </c>
      <c r="G2013" s="6" t="s">
        <v>38</v>
      </c>
      <c r="H2013" s="6" t="s">
        <v>39</v>
      </c>
      <c r="I2013" s="8" t="s">
        <v>164</v>
      </c>
      <c r="J2013" s="9">
        <v>1</v>
      </c>
      <c r="K2013" s="9">
        <v>181</v>
      </c>
      <c r="L2013" s="9">
        <v>2024</v>
      </c>
      <c r="M2013" s="8" t="s">
        <v>11557</v>
      </c>
      <c r="N2013" s="8" t="s">
        <v>42</v>
      </c>
      <c r="O2013" s="8" t="s">
        <v>189</v>
      </c>
      <c r="P2013" s="6" t="s">
        <v>44</v>
      </c>
      <c r="Q2013" s="8" t="s">
        <v>45</v>
      </c>
      <c r="R2013" s="10" t="s">
        <v>902</v>
      </c>
      <c r="S2013" s="11"/>
      <c r="T2013" s="6"/>
      <c r="U2013" s="24" t="str">
        <f>HYPERLINK("https://media.infra-m.ru/2114/2114388/cover/2114388.jpg", "Обложка")</f>
        <v>Обложка</v>
      </c>
      <c r="V2013" s="24" t="str">
        <f>HYPERLINK("https://znanium.ru/catalog/product/2114388", "Ознакомиться")</f>
        <v>Ознакомиться</v>
      </c>
      <c r="W2013" s="8" t="s">
        <v>2234</v>
      </c>
      <c r="X2013" s="6"/>
      <c r="Y2013" s="6"/>
      <c r="Z2013" s="6"/>
      <c r="AA2013" s="6" t="s">
        <v>58</v>
      </c>
      <c r="AB2013" s="8"/>
    </row>
    <row r="2014" spans="1:28" s="4" customFormat="1" ht="42" customHeight="1">
      <c r="A2014" s="5">
        <v>0</v>
      </c>
      <c r="B2014" s="6" t="s">
        <v>11558</v>
      </c>
      <c r="C2014" s="13">
        <v>960</v>
      </c>
      <c r="D2014" s="8" t="s">
        <v>11559</v>
      </c>
      <c r="E2014" s="8" t="s">
        <v>11560</v>
      </c>
      <c r="F2014" s="8" t="s">
        <v>11561</v>
      </c>
      <c r="G2014" s="6" t="s">
        <v>38</v>
      </c>
      <c r="H2014" s="6" t="s">
        <v>39</v>
      </c>
      <c r="I2014" s="8" t="s">
        <v>2342</v>
      </c>
      <c r="J2014" s="9">
        <v>1</v>
      </c>
      <c r="K2014" s="9">
        <v>170</v>
      </c>
      <c r="L2014" s="9">
        <v>2024</v>
      </c>
      <c r="M2014" s="8" t="s">
        <v>11562</v>
      </c>
      <c r="N2014" s="8" t="s">
        <v>54</v>
      </c>
      <c r="O2014" s="8" t="s">
        <v>55</v>
      </c>
      <c r="P2014" s="6" t="s">
        <v>44</v>
      </c>
      <c r="Q2014" s="8" t="s">
        <v>45</v>
      </c>
      <c r="R2014" s="10" t="s">
        <v>11563</v>
      </c>
      <c r="S2014" s="11"/>
      <c r="T2014" s="6"/>
      <c r="U2014" s="24" t="str">
        <f>HYPERLINK("https://media.infra-m.ru/2145/2145513/cover/2145513.jpg", "Обложка")</f>
        <v>Обложка</v>
      </c>
      <c r="V2014" s="24" t="str">
        <f>HYPERLINK("https://znanium.ru/catalog/product/2145513", "Ознакомиться")</f>
        <v>Ознакомиться</v>
      </c>
      <c r="W2014" s="8" t="s">
        <v>232</v>
      </c>
      <c r="X2014" s="6"/>
      <c r="Y2014" s="6"/>
      <c r="Z2014" s="6"/>
      <c r="AA2014" s="6" t="s">
        <v>68</v>
      </c>
      <c r="AB2014" s="8"/>
    </row>
    <row r="2015" spans="1:28" s="4" customFormat="1" ht="51.95" customHeight="1">
      <c r="A2015" s="5">
        <v>0</v>
      </c>
      <c r="B2015" s="6" t="s">
        <v>11564</v>
      </c>
      <c r="C2015" s="7">
        <v>1296</v>
      </c>
      <c r="D2015" s="8" t="s">
        <v>11565</v>
      </c>
      <c r="E2015" s="8" t="s">
        <v>11566</v>
      </c>
      <c r="F2015" s="8" t="s">
        <v>11567</v>
      </c>
      <c r="G2015" s="6" t="s">
        <v>132</v>
      </c>
      <c r="H2015" s="6" t="s">
        <v>39</v>
      </c>
      <c r="I2015" s="8" t="s">
        <v>40</v>
      </c>
      <c r="J2015" s="9">
        <v>1</v>
      </c>
      <c r="K2015" s="9">
        <v>194</v>
      </c>
      <c r="L2015" s="9">
        <v>2025</v>
      </c>
      <c r="M2015" s="8" t="s">
        <v>11568</v>
      </c>
      <c r="N2015" s="8" t="s">
        <v>42</v>
      </c>
      <c r="O2015" s="8" t="s">
        <v>65</v>
      </c>
      <c r="P2015" s="6" t="s">
        <v>44</v>
      </c>
      <c r="Q2015" s="8" t="s">
        <v>45</v>
      </c>
      <c r="R2015" s="10" t="s">
        <v>11569</v>
      </c>
      <c r="S2015" s="11"/>
      <c r="T2015" s="6"/>
      <c r="U2015" s="24" t="str">
        <f>HYPERLINK("https://media.infra-m.ru/2187/2187525/cover/2187525.jpg", "Обложка")</f>
        <v>Обложка</v>
      </c>
      <c r="V2015" s="24" t="str">
        <f>HYPERLINK("https://znanium.ru/catalog/product/2187525", "Ознакомиться")</f>
        <v>Ознакомиться</v>
      </c>
      <c r="W2015" s="8" t="s">
        <v>207</v>
      </c>
      <c r="X2015" s="6" t="s">
        <v>450</v>
      </c>
      <c r="Y2015" s="6"/>
      <c r="Z2015" s="6"/>
      <c r="AA2015" s="6" t="s">
        <v>159</v>
      </c>
      <c r="AB2015" s="8"/>
    </row>
    <row r="2016" spans="1:28" s="4" customFormat="1" ht="51.95" customHeight="1">
      <c r="A2016" s="5">
        <v>0</v>
      </c>
      <c r="B2016" s="6" t="s">
        <v>11570</v>
      </c>
      <c r="C2016" s="7">
        <v>1896</v>
      </c>
      <c r="D2016" s="8" t="s">
        <v>11571</v>
      </c>
      <c r="E2016" s="8" t="s">
        <v>11572</v>
      </c>
      <c r="F2016" s="8" t="s">
        <v>11573</v>
      </c>
      <c r="G2016" s="6" t="s">
        <v>81</v>
      </c>
      <c r="H2016" s="6" t="s">
        <v>99</v>
      </c>
      <c r="I2016" s="8"/>
      <c r="J2016" s="9">
        <v>1</v>
      </c>
      <c r="K2016" s="9">
        <v>336</v>
      </c>
      <c r="L2016" s="9">
        <v>2024</v>
      </c>
      <c r="M2016" s="8" t="s">
        <v>11574</v>
      </c>
      <c r="N2016" s="8" t="s">
        <v>42</v>
      </c>
      <c r="O2016" s="8" t="s">
        <v>101</v>
      </c>
      <c r="P2016" s="6" t="s">
        <v>44</v>
      </c>
      <c r="Q2016" s="8" t="s">
        <v>45</v>
      </c>
      <c r="R2016" s="10" t="s">
        <v>439</v>
      </c>
      <c r="S2016" s="11"/>
      <c r="T2016" s="6"/>
      <c r="U2016" s="24" t="str">
        <f>HYPERLINK("https://media.infra-m.ru/2143/2143329/cover/2143329.jpg", "Обложка")</f>
        <v>Обложка</v>
      </c>
      <c r="V2016" s="24" t="str">
        <f>HYPERLINK("https://znanium.ru/catalog/product/2143329", "Ознакомиться")</f>
        <v>Ознакомиться</v>
      </c>
      <c r="W2016" s="8" t="s">
        <v>103</v>
      </c>
      <c r="X2016" s="6"/>
      <c r="Y2016" s="6"/>
      <c r="Z2016" s="6"/>
      <c r="AA2016" s="6" t="s">
        <v>119</v>
      </c>
      <c r="AB2016" s="8"/>
    </row>
    <row r="2017" spans="1:28" s="4" customFormat="1" ht="42" customHeight="1">
      <c r="A2017" s="5">
        <v>0</v>
      </c>
      <c r="B2017" s="6" t="s">
        <v>11575</v>
      </c>
      <c r="C2017" s="7">
        <v>1348.8</v>
      </c>
      <c r="D2017" s="8" t="s">
        <v>11576</v>
      </c>
      <c r="E2017" s="8" t="s">
        <v>11577</v>
      </c>
      <c r="F2017" s="8" t="s">
        <v>11578</v>
      </c>
      <c r="G2017" s="6" t="s">
        <v>81</v>
      </c>
      <c r="H2017" s="6" t="s">
        <v>99</v>
      </c>
      <c r="I2017" s="8"/>
      <c r="J2017" s="9">
        <v>1</v>
      </c>
      <c r="K2017" s="9">
        <v>224</v>
      </c>
      <c r="L2017" s="9">
        <v>2025</v>
      </c>
      <c r="M2017" s="8" t="s">
        <v>11579</v>
      </c>
      <c r="N2017" s="8" t="s">
        <v>42</v>
      </c>
      <c r="O2017" s="8" t="s">
        <v>101</v>
      </c>
      <c r="P2017" s="6" t="s">
        <v>44</v>
      </c>
      <c r="Q2017" s="8" t="s">
        <v>45</v>
      </c>
      <c r="R2017" s="10" t="s">
        <v>269</v>
      </c>
      <c r="S2017" s="11"/>
      <c r="T2017" s="6"/>
      <c r="U2017" s="24" t="str">
        <f>HYPERLINK("https://media.infra-m.ru/2180/2180981/cover/2180981.jpg", "Обложка")</f>
        <v>Обложка</v>
      </c>
      <c r="V2017" s="24" t="str">
        <f>HYPERLINK("https://znanium.ru/catalog/product/1880883", "Ознакомиться")</f>
        <v>Ознакомиться</v>
      </c>
      <c r="W2017" s="8" t="s">
        <v>103</v>
      </c>
      <c r="X2017" s="6"/>
      <c r="Y2017" s="6"/>
      <c r="Z2017" s="6"/>
      <c r="AA2017" s="6" t="s">
        <v>168</v>
      </c>
      <c r="AB2017" s="8"/>
    </row>
    <row r="2018" spans="1:28" s="4" customFormat="1" ht="42" customHeight="1">
      <c r="A2018" s="5">
        <v>0</v>
      </c>
      <c r="B2018" s="6" t="s">
        <v>11580</v>
      </c>
      <c r="C2018" s="7">
        <v>1668</v>
      </c>
      <c r="D2018" s="8" t="s">
        <v>11581</v>
      </c>
      <c r="E2018" s="8" t="s">
        <v>11582</v>
      </c>
      <c r="F2018" s="8" t="s">
        <v>11583</v>
      </c>
      <c r="G2018" s="6" t="s">
        <v>81</v>
      </c>
      <c r="H2018" s="6" t="s">
        <v>99</v>
      </c>
      <c r="I2018" s="8"/>
      <c r="J2018" s="9">
        <v>1</v>
      </c>
      <c r="K2018" s="9">
        <v>288</v>
      </c>
      <c r="L2018" s="9">
        <v>2023</v>
      </c>
      <c r="M2018" s="8" t="s">
        <v>11584</v>
      </c>
      <c r="N2018" s="8" t="s">
        <v>42</v>
      </c>
      <c r="O2018" s="8" t="s">
        <v>101</v>
      </c>
      <c r="P2018" s="6" t="s">
        <v>44</v>
      </c>
      <c r="Q2018" s="8" t="s">
        <v>45</v>
      </c>
      <c r="R2018" s="10" t="s">
        <v>269</v>
      </c>
      <c r="S2018" s="11"/>
      <c r="T2018" s="6"/>
      <c r="U2018" s="24" t="str">
        <f>HYPERLINK("https://media.infra-m.ru/1920/1920523/cover/1920523.jpg", "Обложка")</f>
        <v>Обложка</v>
      </c>
      <c r="V2018" s="24" t="str">
        <f>HYPERLINK("https://znanium.ru/catalog/product/1920523", "Ознакомиться")</f>
        <v>Ознакомиться</v>
      </c>
      <c r="W2018" s="8" t="s">
        <v>305</v>
      </c>
      <c r="X2018" s="6"/>
      <c r="Y2018" s="6"/>
      <c r="Z2018" s="6"/>
      <c r="AA2018" s="6" t="s">
        <v>111</v>
      </c>
      <c r="AB2018" s="8"/>
    </row>
    <row r="2019" spans="1:28" s="4" customFormat="1" ht="51.95" customHeight="1">
      <c r="A2019" s="5">
        <v>0</v>
      </c>
      <c r="B2019" s="6" t="s">
        <v>11585</v>
      </c>
      <c r="C2019" s="7">
        <v>2628</v>
      </c>
      <c r="D2019" s="8" t="s">
        <v>11586</v>
      </c>
      <c r="E2019" s="8" t="s">
        <v>11587</v>
      </c>
      <c r="F2019" s="8" t="s">
        <v>11588</v>
      </c>
      <c r="G2019" s="6" t="s">
        <v>132</v>
      </c>
      <c r="H2019" s="6" t="s">
        <v>99</v>
      </c>
      <c r="I2019" s="8"/>
      <c r="J2019" s="9">
        <v>1</v>
      </c>
      <c r="K2019" s="9">
        <v>432</v>
      </c>
      <c r="L2019" s="9">
        <v>2025</v>
      </c>
      <c r="M2019" s="8" t="s">
        <v>11589</v>
      </c>
      <c r="N2019" s="8" t="s">
        <v>42</v>
      </c>
      <c r="O2019" s="8" t="s">
        <v>101</v>
      </c>
      <c r="P2019" s="6" t="s">
        <v>44</v>
      </c>
      <c r="Q2019" s="8" t="s">
        <v>45</v>
      </c>
      <c r="R2019" s="10" t="s">
        <v>11590</v>
      </c>
      <c r="S2019" s="11"/>
      <c r="T2019" s="6"/>
      <c r="U2019" s="24" t="str">
        <f>HYPERLINK("https://media.infra-m.ru/2187/2187211/cover/2187211.jpg", "Обложка")</f>
        <v>Обложка</v>
      </c>
      <c r="V2019" s="24" t="str">
        <f>HYPERLINK("https://znanium.ru/catalog/product/2187211", "Ознакомиться")</f>
        <v>Ознакомиться</v>
      </c>
      <c r="W2019" s="8" t="s">
        <v>103</v>
      </c>
      <c r="X2019" s="6"/>
      <c r="Y2019" s="6"/>
      <c r="Z2019" s="6"/>
      <c r="AA2019" s="6" t="s">
        <v>111</v>
      </c>
      <c r="AB2019" s="8"/>
    </row>
    <row r="2020" spans="1:28" s="4" customFormat="1" ht="51.95" customHeight="1">
      <c r="A2020" s="5">
        <v>0</v>
      </c>
      <c r="B2020" s="6" t="s">
        <v>11591</v>
      </c>
      <c r="C2020" s="7">
        <v>1188</v>
      </c>
      <c r="D2020" s="8" t="s">
        <v>11592</v>
      </c>
      <c r="E2020" s="8" t="s">
        <v>11593</v>
      </c>
      <c r="F2020" s="8" t="s">
        <v>11594</v>
      </c>
      <c r="G2020" s="6" t="s">
        <v>132</v>
      </c>
      <c r="H2020" s="6" t="s">
        <v>39</v>
      </c>
      <c r="I2020" s="8" t="s">
        <v>40</v>
      </c>
      <c r="J2020" s="9">
        <v>1</v>
      </c>
      <c r="K2020" s="9">
        <v>199</v>
      </c>
      <c r="L2020" s="9">
        <v>2024</v>
      </c>
      <c r="M2020" s="8" t="s">
        <v>11595</v>
      </c>
      <c r="N2020" s="8" t="s">
        <v>54</v>
      </c>
      <c r="O2020" s="8" t="s">
        <v>55</v>
      </c>
      <c r="P2020" s="6" t="s">
        <v>44</v>
      </c>
      <c r="Q2020" s="8" t="s">
        <v>45</v>
      </c>
      <c r="R2020" s="10" t="s">
        <v>11596</v>
      </c>
      <c r="S2020" s="11"/>
      <c r="T2020" s="6"/>
      <c r="U2020" s="24" t="str">
        <f>HYPERLINK("https://media.infra-m.ru/2100/2100004/cover/2100004.jpg", "Обложка")</f>
        <v>Обложка</v>
      </c>
      <c r="V2020" s="24" t="str">
        <f>HYPERLINK("https://znanium.ru/catalog/product/2100004", "Ознакомиться")</f>
        <v>Ознакомиться</v>
      </c>
      <c r="W2020" s="8" t="s">
        <v>2673</v>
      </c>
      <c r="X2020" s="6"/>
      <c r="Y2020" s="6"/>
      <c r="Z2020" s="6"/>
      <c r="AA2020" s="6" t="s">
        <v>58</v>
      </c>
      <c r="AB2020" s="8" t="s">
        <v>59</v>
      </c>
    </row>
    <row r="2021" spans="1:28" s="4" customFormat="1" ht="42" customHeight="1">
      <c r="A2021" s="5">
        <v>0</v>
      </c>
      <c r="B2021" s="6" t="s">
        <v>11597</v>
      </c>
      <c r="C2021" s="13">
        <v>660</v>
      </c>
      <c r="D2021" s="8" t="s">
        <v>11598</v>
      </c>
      <c r="E2021" s="8" t="s">
        <v>11599</v>
      </c>
      <c r="F2021" s="8" t="s">
        <v>11600</v>
      </c>
      <c r="G2021" s="6" t="s">
        <v>38</v>
      </c>
      <c r="H2021" s="6" t="s">
        <v>39</v>
      </c>
      <c r="I2021" s="8" t="s">
        <v>40</v>
      </c>
      <c r="J2021" s="9">
        <v>1</v>
      </c>
      <c r="K2021" s="9">
        <v>141</v>
      </c>
      <c r="L2021" s="9">
        <v>2022</v>
      </c>
      <c r="M2021" s="8" t="s">
        <v>11601</v>
      </c>
      <c r="N2021" s="8" t="s">
        <v>220</v>
      </c>
      <c r="O2021" s="8" t="s">
        <v>252</v>
      </c>
      <c r="P2021" s="6" t="s">
        <v>44</v>
      </c>
      <c r="Q2021" s="8" t="s">
        <v>45</v>
      </c>
      <c r="R2021" s="10" t="s">
        <v>11602</v>
      </c>
      <c r="S2021" s="11"/>
      <c r="T2021" s="6"/>
      <c r="U2021" s="24" t="str">
        <f>HYPERLINK("https://media.infra-m.ru/1851/1851253/cover/1851253.jpg", "Обложка")</f>
        <v>Обложка</v>
      </c>
      <c r="V2021" s="24" t="str">
        <f>HYPERLINK("https://znanium.ru/catalog/product/1851253", "Ознакомиться")</f>
        <v>Ознакомиться</v>
      </c>
      <c r="W2021" s="8" t="s">
        <v>4953</v>
      </c>
      <c r="X2021" s="6"/>
      <c r="Y2021" s="6"/>
      <c r="Z2021" s="6"/>
      <c r="AA2021" s="6" t="s">
        <v>76</v>
      </c>
      <c r="AB2021" s="8"/>
    </row>
    <row r="2022" spans="1:28" s="4" customFormat="1" ht="51.95" customHeight="1">
      <c r="A2022" s="5">
        <v>0</v>
      </c>
      <c r="B2022" s="6" t="s">
        <v>11603</v>
      </c>
      <c r="C2022" s="7">
        <v>1192.8</v>
      </c>
      <c r="D2022" s="8" t="s">
        <v>11604</v>
      </c>
      <c r="E2022" s="8" t="s">
        <v>11605</v>
      </c>
      <c r="F2022" s="8" t="s">
        <v>11606</v>
      </c>
      <c r="G2022" s="6" t="s">
        <v>38</v>
      </c>
      <c r="H2022" s="6" t="s">
        <v>39</v>
      </c>
      <c r="I2022" s="8" t="s">
        <v>40</v>
      </c>
      <c r="J2022" s="9">
        <v>1</v>
      </c>
      <c r="K2022" s="9">
        <v>194</v>
      </c>
      <c r="L2022" s="9">
        <v>2023</v>
      </c>
      <c r="M2022" s="8" t="s">
        <v>11607</v>
      </c>
      <c r="N2022" s="8" t="s">
        <v>229</v>
      </c>
      <c r="O2022" s="8" t="s">
        <v>230</v>
      </c>
      <c r="P2022" s="6" t="s">
        <v>44</v>
      </c>
      <c r="Q2022" s="8" t="s">
        <v>45</v>
      </c>
      <c r="R2022" s="10" t="s">
        <v>11608</v>
      </c>
      <c r="S2022" s="11"/>
      <c r="T2022" s="6"/>
      <c r="U2022" s="24" t="str">
        <f>HYPERLINK("https://media.infra-m.ru/2214/2214246/cover/2214246.jpg", "Обложка")</f>
        <v>Обложка</v>
      </c>
      <c r="V2022" s="24" t="str">
        <f>HYPERLINK("https://znanium.ru/catalog/product/1937185", "Ознакомиться")</f>
        <v>Ознакомиться</v>
      </c>
      <c r="W2022" s="8" t="s">
        <v>1575</v>
      </c>
      <c r="X2022" s="6"/>
      <c r="Y2022" s="6"/>
      <c r="Z2022" s="6"/>
      <c r="AA2022" s="6" t="s">
        <v>199</v>
      </c>
      <c r="AB2022" s="8"/>
    </row>
    <row r="2023" spans="1:28" s="4" customFormat="1" ht="51.95" customHeight="1">
      <c r="A2023" s="5">
        <v>0</v>
      </c>
      <c r="B2023" s="6" t="s">
        <v>11609</v>
      </c>
      <c r="C2023" s="13">
        <v>432</v>
      </c>
      <c r="D2023" s="8" t="s">
        <v>11610</v>
      </c>
      <c r="E2023" s="8" t="s">
        <v>11611</v>
      </c>
      <c r="F2023" s="8" t="s">
        <v>11612</v>
      </c>
      <c r="G2023" s="6" t="s">
        <v>38</v>
      </c>
      <c r="H2023" s="6" t="s">
        <v>39</v>
      </c>
      <c r="I2023" s="8"/>
      <c r="J2023" s="9">
        <v>1</v>
      </c>
      <c r="K2023" s="9">
        <v>94</v>
      </c>
      <c r="L2023" s="9">
        <v>2023</v>
      </c>
      <c r="M2023" s="8" t="s">
        <v>11613</v>
      </c>
      <c r="N2023" s="8" t="s">
        <v>42</v>
      </c>
      <c r="O2023" s="8" t="s">
        <v>65</v>
      </c>
      <c r="P2023" s="6" t="s">
        <v>2150</v>
      </c>
      <c r="Q2023" s="8" t="s">
        <v>45</v>
      </c>
      <c r="R2023" s="10" t="s">
        <v>11614</v>
      </c>
      <c r="S2023" s="11"/>
      <c r="T2023" s="6"/>
      <c r="U2023" s="24" t="str">
        <f>HYPERLINK("https://media.infra-m.ru/2143/2143220/cover/2143220.jpg", "Обложка")</f>
        <v>Обложка</v>
      </c>
      <c r="V2023" s="12"/>
      <c r="W2023" s="8"/>
      <c r="X2023" s="6"/>
      <c r="Y2023" s="6"/>
      <c r="Z2023" s="6"/>
      <c r="AA2023" s="6" t="s">
        <v>119</v>
      </c>
      <c r="AB2023" s="8"/>
    </row>
    <row r="2024" spans="1:28" s="4" customFormat="1" ht="42" customHeight="1">
      <c r="A2024" s="5">
        <v>0</v>
      </c>
      <c r="B2024" s="6" t="s">
        <v>11615</v>
      </c>
      <c r="C2024" s="7">
        <v>1044</v>
      </c>
      <c r="D2024" s="8" t="s">
        <v>11616</v>
      </c>
      <c r="E2024" s="8" t="s">
        <v>11617</v>
      </c>
      <c r="F2024" s="8" t="s">
        <v>11618</v>
      </c>
      <c r="G2024" s="6" t="s">
        <v>38</v>
      </c>
      <c r="H2024" s="6" t="s">
        <v>39</v>
      </c>
      <c r="I2024" s="8" t="s">
        <v>40</v>
      </c>
      <c r="J2024" s="9">
        <v>1</v>
      </c>
      <c r="K2024" s="9">
        <v>174</v>
      </c>
      <c r="L2024" s="9">
        <v>2025</v>
      </c>
      <c r="M2024" s="8" t="s">
        <v>11619</v>
      </c>
      <c r="N2024" s="8" t="s">
        <v>42</v>
      </c>
      <c r="O2024" s="8" t="s">
        <v>101</v>
      </c>
      <c r="P2024" s="6" t="s">
        <v>44</v>
      </c>
      <c r="Q2024" s="8" t="s">
        <v>45</v>
      </c>
      <c r="R2024" s="10" t="s">
        <v>269</v>
      </c>
      <c r="S2024" s="11"/>
      <c r="T2024" s="6"/>
      <c r="U2024" s="24" t="str">
        <f>HYPERLINK("https://media.infra-m.ru/2141/2141102/cover/2141102.jpg", "Обложка")</f>
        <v>Обложка</v>
      </c>
      <c r="V2024" s="24" t="str">
        <f>HYPERLINK("https://znanium.ru/catalog/product/2141102", "Ознакомиться")</f>
        <v>Ознакомиться</v>
      </c>
      <c r="W2024" s="8" t="s">
        <v>418</v>
      </c>
      <c r="X2024" s="6"/>
      <c r="Y2024" s="6"/>
      <c r="Z2024" s="6"/>
      <c r="AA2024" s="6" t="s">
        <v>159</v>
      </c>
      <c r="AB2024" s="8"/>
    </row>
    <row r="2025" spans="1:28" s="4" customFormat="1" ht="51.95" customHeight="1">
      <c r="A2025" s="5">
        <v>0</v>
      </c>
      <c r="B2025" s="6" t="s">
        <v>11620</v>
      </c>
      <c r="C2025" s="13">
        <v>828</v>
      </c>
      <c r="D2025" s="8" t="s">
        <v>11621</v>
      </c>
      <c r="E2025" s="8" t="s">
        <v>11622</v>
      </c>
      <c r="F2025" s="8" t="s">
        <v>8417</v>
      </c>
      <c r="G2025" s="6" t="s">
        <v>81</v>
      </c>
      <c r="H2025" s="6" t="s">
        <v>99</v>
      </c>
      <c r="I2025" s="8"/>
      <c r="J2025" s="9">
        <v>1</v>
      </c>
      <c r="K2025" s="9">
        <v>144</v>
      </c>
      <c r="L2025" s="9">
        <v>2024</v>
      </c>
      <c r="M2025" s="8" t="s">
        <v>11623</v>
      </c>
      <c r="N2025" s="8" t="s">
        <v>42</v>
      </c>
      <c r="O2025" s="8" t="s">
        <v>101</v>
      </c>
      <c r="P2025" s="6" t="s">
        <v>44</v>
      </c>
      <c r="Q2025" s="8" t="s">
        <v>45</v>
      </c>
      <c r="R2025" s="10" t="s">
        <v>7198</v>
      </c>
      <c r="S2025" s="11"/>
      <c r="T2025" s="6"/>
      <c r="U2025" s="24" t="str">
        <f>HYPERLINK("https://media.infra-m.ru/2130/2130207/cover/2130207.jpg", "Обложка")</f>
        <v>Обложка</v>
      </c>
      <c r="V2025" s="24" t="str">
        <f>HYPERLINK("https://znanium.ru/catalog/product/2130207", "Ознакомиться")</f>
        <v>Ознакомиться</v>
      </c>
      <c r="W2025" s="8" t="s">
        <v>565</v>
      </c>
      <c r="X2025" s="6"/>
      <c r="Y2025" s="6"/>
      <c r="Z2025" s="6"/>
      <c r="AA2025" s="6" t="s">
        <v>566</v>
      </c>
      <c r="AB2025" s="8"/>
    </row>
    <row r="2026" spans="1:28" s="4" customFormat="1" ht="42" customHeight="1">
      <c r="A2026" s="5">
        <v>0</v>
      </c>
      <c r="B2026" s="6" t="s">
        <v>11624</v>
      </c>
      <c r="C2026" s="7">
        <v>1216.8</v>
      </c>
      <c r="D2026" s="8" t="s">
        <v>11625</v>
      </c>
      <c r="E2026" s="8" t="s">
        <v>11626</v>
      </c>
      <c r="F2026" s="8" t="s">
        <v>11627</v>
      </c>
      <c r="G2026" s="6" t="s">
        <v>81</v>
      </c>
      <c r="H2026" s="6" t="s">
        <v>39</v>
      </c>
      <c r="I2026" s="8" t="s">
        <v>40</v>
      </c>
      <c r="J2026" s="9">
        <v>1</v>
      </c>
      <c r="K2026" s="9">
        <v>203</v>
      </c>
      <c r="L2026" s="9">
        <v>2025</v>
      </c>
      <c r="M2026" s="8" t="s">
        <v>11628</v>
      </c>
      <c r="N2026" s="8" t="s">
        <v>229</v>
      </c>
      <c r="O2026" s="8" t="s">
        <v>230</v>
      </c>
      <c r="P2026" s="6" t="s">
        <v>44</v>
      </c>
      <c r="Q2026" s="8" t="s">
        <v>45</v>
      </c>
      <c r="R2026" s="10" t="s">
        <v>11629</v>
      </c>
      <c r="S2026" s="11"/>
      <c r="T2026" s="6"/>
      <c r="U2026" s="24" t="str">
        <f>HYPERLINK("https://media.infra-m.ru/2172/2172732/cover/2172732.jpg", "Обложка")</f>
        <v>Обложка</v>
      </c>
      <c r="V2026" s="24" t="str">
        <f>HYPERLINK("https://znanium.ru/catalog/product/1240756", "Ознакомиться")</f>
        <v>Ознакомиться</v>
      </c>
      <c r="W2026" s="8" t="s">
        <v>10329</v>
      </c>
      <c r="X2026" s="6"/>
      <c r="Y2026" s="6"/>
      <c r="Z2026" s="6"/>
      <c r="AA2026" s="6" t="s">
        <v>68</v>
      </c>
      <c r="AB2026" s="8"/>
    </row>
    <row r="2027" spans="1:28" s="4" customFormat="1" ht="51.95" customHeight="1">
      <c r="A2027" s="5">
        <v>0</v>
      </c>
      <c r="B2027" s="6" t="s">
        <v>11630</v>
      </c>
      <c r="C2027" s="7">
        <v>1672.8</v>
      </c>
      <c r="D2027" s="8" t="s">
        <v>11631</v>
      </c>
      <c r="E2027" s="8" t="s">
        <v>11632</v>
      </c>
      <c r="F2027" s="8" t="s">
        <v>11633</v>
      </c>
      <c r="G2027" s="6" t="s">
        <v>132</v>
      </c>
      <c r="H2027" s="6" t="s">
        <v>99</v>
      </c>
      <c r="I2027" s="8"/>
      <c r="J2027" s="9">
        <v>1</v>
      </c>
      <c r="K2027" s="9">
        <v>304</v>
      </c>
      <c r="L2027" s="9">
        <v>2024</v>
      </c>
      <c r="M2027" s="8" t="s">
        <v>11634</v>
      </c>
      <c r="N2027" s="8" t="s">
        <v>42</v>
      </c>
      <c r="O2027" s="8" t="s">
        <v>101</v>
      </c>
      <c r="P2027" s="6" t="s">
        <v>44</v>
      </c>
      <c r="Q2027" s="8" t="s">
        <v>45</v>
      </c>
      <c r="R2027" s="10" t="s">
        <v>11635</v>
      </c>
      <c r="S2027" s="11"/>
      <c r="T2027" s="6"/>
      <c r="U2027" s="24" t="str">
        <f>HYPERLINK("https://media.infra-m.ru/2044/2044345/cover/2044345.jpg", "Обложка")</f>
        <v>Обложка</v>
      </c>
      <c r="V2027" s="24" t="str">
        <f>HYPERLINK("https://znanium.ru/catalog/product/1081878", "Ознакомиться")</f>
        <v>Ознакомиться</v>
      </c>
      <c r="W2027" s="8" t="s">
        <v>1627</v>
      </c>
      <c r="X2027" s="6"/>
      <c r="Y2027" s="6"/>
      <c r="Z2027" s="6"/>
      <c r="AA2027" s="6" t="s">
        <v>48</v>
      </c>
      <c r="AB2027" s="8"/>
    </row>
    <row r="2028" spans="1:28" s="4" customFormat="1" ht="51.95" customHeight="1">
      <c r="A2028" s="5">
        <v>0</v>
      </c>
      <c r="B2028" s="6" t="s">
        <v>11636</v>
      </c>
      <c r="C2028" s="7">
        <v>2428.8000000000002</v>
      </c>
      <c r="D2028" s="8" t="s">
        <v>11637</v>
      </c>
      <c r="E2028" s="8" t="s">
        <v>11638</v>
      </c>
      <c r="F2028" s="8" t="s">
        <v>11639</v>
      </c>
      <c r="G2028" s="6" t="s">
        <v>81</v>
      </c>
      <c r="H2028" s="6" t="s">
        <v>2052</v>
      </c>
      <c r="I2028" s="8"/>
      <c r="J2028" s="9">
        <v>1</v>
      </c>
      <c r="K2028" s="9">
        <v>368</v>
      </c>
      <c r="L2028" s="9">
        <v>2026</v>
      </c>
      <c r="M2028" s="8" t="s">
        <v>11640</v>
      </c>
      <c r="N2028" s="8" t="s">
        <v>42</v>
      </c>
      <c r="O2028" s="8" t="s">
        <v>101</v>
      </c>
      <c r="P2028" s="6" t="s">
        <v>415</v>
      </c>
      <c r="Q2028" s="8" t="s">
        <v>3762</v>
      </c>
      <c r="R2028" s="10" t="s">
        <v>9351</v>
      </c>
      <c r="S2028" s="11"/>
      <c r="T2028" s="6"/>
      <c r="U2028" s="24" t="str">
        <f>HYPERLINK("https://media.infra-m.ru/2221/2221345/cover/2221345.jpg", "Обложка")</f>
        <v>Обложка</v>
      </c>
      <c r="V2028" s="24" t="str">
        <f>HYPERLINK("https://znanium.ru/catalog/product/2143254", "Ознакомиться")</f>
        <v>Ознакомиться</v>
      </c>
      <c r="W2028" s="8" t="s">
        <v>803</v>
      </c>
      <c r="X2028" s="6"/>
      <c r="Y2028" s="6"/>
      <c r="Z2028" s="6"/>
      <c r="AA2028" s="6" t="s">
        <v>339</v>
      </c>
      <c r="AB2028" s="8"/>
    </row>
    <row r="2029" spans="1:28" s="4" customFormat="1" ht="42" customHeight="1">
      <c r="A2029" s="5">
        <v>0</v>
      </c>
      <c r="B2029" s="6" t="s">
        <v>11641</v>
      </c>
      <c r="C2029" s="7">
        <v>1036.8</v>
      </c>
      <c r="D2029" s="8" t="s">
        <v>11642</v>
      </c>
      <c r="E2029" s="8" t="s">
        <v>11643</v>
      </c>
      <c r="F2029" s="8" t="s">
        <v>4515</v>
      </c>
      <c r="G2029" s="6" t="s">
        <v>81</v>
      </c>
      <c r="H2029" s="6" t="s">
        <v>99</v>
      </c>
      <c r="I2029" s="8"/>
      <c r="J2029" s="9">
        <v>1</v>
      </c>
      <c r="K2029" s="9">
        <v>152</v>
      </c>
      <c r="L2029" s="9">
        <v>2025</v>
      </c>
      <c r="M2029" s="8" t="s">
        <v>11644</v>
      </c>
      <c r="N2029" s="8" t="s">
        <v>42</v>
      </c>
      <c r="O2029" s="8" t="s">
        <v>101</v>
      </c>
      <c r="P2029" s="6" t="s">
        <v>44</v>
      </c>
      <c r="Q2029" s="8" t="s">
        <v>45</v>
      </c>
      <c r="R2029" s="10" t="s">
        <v>269</v>
      </c>
      <c r="S2029" s="11"/>
      <c r="T2029" s="6"/>
      <c r="U2029" s="24" t="str">
        <f>HYPERLINK("https://media.infra-m.ru/2179/2179198/cover/2179198.jpg", "Обложка")</f>
        <v>Обложка</v>
      </c>
      <c r="V2029" s="24" t="str">
        <f>HYPERLINK("https://znanium.ru/catalog/product/1984939", "Ознакомиться")</f>
        <v>Ознакомиться</v>
      </c>
      <c r="W2029" s="8" t="s">
        <v>305</v>
      </c>
      <c r="X2029" s="6"/>
      <c r="Y2029" s="6"/>
      <c r="Z2029" s="6"/>
      <c r="AA2029" s="6" t="s">
        <v>111</v>
      </c>
      <c r="AB2029" s="8"/>
    </row>
    <row r="2030" spans="1:28" s="4" customFormat="1" ht="51.95" customHeight="1">
      <c r="A2030" s="5">
        <v>0</v>
      </c>
      <c r="B2030" s="6" t="s">
        <v>11645</v>
      </c>
      <c r="C2030" s="7">
        <v>2350.8000000000002</v>
      </c>
      <c r="D2030" s="8" t="s">
        <v>11646</v>
      </c>
      <c r="E2030" s="8" t="s">
        <v>11647</v>
      </c>
      <c r="F2030" s="8" t="s">
        <v>11648</v>
      </c>
      <c r="G2030" s="6" t="s">
        <v>81</v>
      </c>
      <c r="H2030" s="6" t="s">
        <v>39</v>
      </c>
      <c r="I2030" s="8" t="s">
        <v>40</v>
      </c>
      <c r="J2030" s="9">
        <v>1</v>
      </c>
      <c r="K2030" s="9">
        <v>220</v>
      </c>
      <c r="L2030" s="9">
        <v>2024</v>
      </c>
      <c r="M2030" s="8" t="s">
        <v>11649</v>
      </c>
      <c r="N2030" s="8" t="s">
        <v>42</v>
      </c>
      <c r="O2030" s="8" t="s">
        <v>101</v>
      </c>
      <c r="P2030" s="6" t="s">
        <v>44</v>
      </c>
      <c r="Q2030" s="8" t="s">
        <v>45</v>
      </c>
      <c r="R2030" s="10" t="s">
        <v>11650</v>
      </c>
      <c r="S2030" s="11"/>
      <c r="T2030" s="6"/>
      <c r="U2030" s="24" t="str">
        <f>HYPERLINK("https://media.infra-m.ru/2132/2132049/cover/2132049.jpg", "Обложка")</f>
        <v>Обложка</v>
      </c>
      <c r="V2030" s="24" t="str">
        <f>HYPERLINK("https://znanium.ru/catalog/product/2132049", "Ознакомиться")</f>
        <v>Ознакомиться</v>
      </c>
      <c r="W2030" s="8" t="s">
        <v>391</v>
      </c>
      <c r="X2030" s="6"/>
      <c r="Y2030" s="6"/>
      <c r="Z2030" s="6"/>
      <c r="AA2030" s="6" t="s">
        <v>119</v>
      </c>
      <c r="AB2030" s="8"/>
    </row>
    <row r="2031" spans="1:28" s="4" customFormat="1" ht="42" customHeight="1">
      <c r="A2031" s="5">
        <v>0</v>
      </c>
      <c r="B2031" s="6" t="s">
        <v>11651</v>
      </c>
      <c r="C2031" s="7">
        <v>1871.9</v>
      </c>
      <c r="D2031" s="8" t="s">
        <v>11652</v>
      </c>
      <c r="E2031" s="8" t="s">
        <v>11653</v>
      </c>
      <c r="F2031" s="8" t="s">
        <v>11654</v>
      </c>
      <c r="G2031" s="6" t="s">
        <v>132</v>
      </c>
      <c r="H2031" s="6" t="s">
        <v>99</v>
      </c>
      <c r="I2031" s="8"/>
      <c r="J2031" s="9">
        <v>1</v>
      </c>
      <c r="K2031" s="9">
        <v>400</v>
      </c>
      <c r="L2031" s="9">
        <v>2022</v>
      </c>
      <c r="M2031" s="8" t="s">
        <v>11655</v>
      </c>
      <c r="N2031" s="8" t="s">
        <v>229</v>
      </c>
      <c r="O2031" s="8" t="s">
        <v>230</v>
      </c>
      <c r="P2031" s="6" t="s">
        <v>44</v>
      </c>
      <c r="Q2031" s="8" t="s">
        <v>45</v>
      </c>
      <c r="R2031" s="10" t="s">
        <v>269</v>
      </c>
      <c r="S2031" s="11"/>
      <c r="T2031" s="6"/>
      <c r="U2031" s="24" t="str">
        <f>HYPERLINK("https://media.infra-m.ru/1836/1836963/cover/1836963.jpg", "Обложка")</f>
        <v>Обложка</v>
      </c>
      <c r="V2031" s="24" t="str">
        <f>HYPERLINK("https://znanium.ru/catalog/product/1836963", "Ознакомиться")</f>
        <v>Ознакомиться</v>
      </c>
      <c r="W2031" s="8" t="s">
        <v>418</v>
      </c>
      <c r="X2031" s="6"/>
      <c r="Y2031" s="6"/>
      <c r="Z2031" s="6"/>
      <c r="AA2031" s="6" t="s">
        <v>111</v>
      </c>
      <c r="AB2031" s="8"/>
    </row>
    <row r="2032" spans="1:28" s="4" customFormat="1" ht="42" customHeight="1">
      <c r="A2032" s="5">
        <v>0</v>
      </c>
      <c r="B2032" s="6" t="s">
        <v>11656</v>
      </c>
      <c r="C2032" s="7">
        <v>1428</v>
      </c>
      <c r="D2032" s="8" t="s">
        <v>11657</v>
      </c>
      <c r="E2032" s="8" t="s">
        <v>11658</v>
      </c>
      <c r="F2032" s="8" t="s">
        <v>11659</v>
      </c>
      <c r="G2032" s="6" t="s">
        <v>132</v>
      </c>
      <c r="H2032" s="6" t="s">
        <v>39</v>
      </c>
      <c r="I2032" s="8" t="s">
        <v>2342</v>
      </c>
      <c r="J2032" s="9">
        <v>1</v>
      </c>
      <c r="K2032" s="9">
        <v>251</v>
      </c>
      <c r="L2032" s="9">
        <v>2023</v>
      </c>
      <c r="M2032" s="8" t="s">
        <v>11660</v>
      </c>
      <c r="N2032" s="8" t="s">
        <v>284</v>
      </c>
      <c r="O2032" s="8" t="s">
        <v>717</v>
      </c>
      <c r="P2032" s="6" t="s">
        <v>44</v>
      </c>
      <c r="Q2032" s="8" t="s">
        <v>45</v>
      </c>
      <c r="R2032" s="10" t="s">
        <v>11661</v>
      </c>
      <c r="S2032" s="11"/>
      <c r="T2032" s="6"/>
      <c r="U2032" s="24" t="str">
        <f>HYPERLINK("https://media.infra-m.ru/1916/1916083/cover/1916083.jpg", "Обложка")</f>
        <v>Обложка</v>
      </c>
      <c r="V2032" s="24" t="str">
        <f>HYPERLINK("https://znanium.ru/catalog/product/2206875", "Ознакомиться")</f>
        <v>Ознакомиться</v>
      </c>
      <c r="W2032" s="8" t="s">
        <v>11662</v>
      </c>
      <c r="X2032" s="6"/>
      <c r="Y2032" s="6"/>
      <c r="Z2032" s="6"/>
      <c r="AA2032" s="6" t="s">
        <v>119</v>
      </c>
      <c r="AB2032" s="8"/>
    </row>
    <row r="2033" spans="1:28" s="4" customFormat="1" ht="42" customHeight="1">
      <c r="A2033" s="5">
        <v>0</v>
      </c>
      <c r="B2033" s="6" t="s">
        <v>11663</v>
      </c>
      <c r="C2033" s="13">
        <v>504</v>
      </c>
      <c r="D2033" s="8" t="s">
        <v>11664</v>
      </c>
      <c r="E2033" s="8" t="s">
        <v>11665</v>
      </c>
      <c r="F2033" s="8" t="s">
        <v>11666</v>
      </c>
      <c r="G2033" s="6" t="s">
        <v>38</v>
      </c>
      <c r="H2033" s="6" t="s">
        <v>39</v>
      </c>
      <c r="I2033" s="8" t="s">
        <v>40</v>
      </c>
      <c r="J2033" s="9">
        <v>1</v>
      </c>
      <c r="K2033" s="9">
        <v>140</v>
      </c>
      <c r="L2033" s="9">
        <v>2019</v>
      </c>
      <c r="M2033" s="8" t="s">
        <v>11667</v>
      </c>
      <c r="N2033" s="8" t="s">
        <v>42</v>
      </c>
      <c r="O2033" s="8" t="s">
        <v>101</v>
      </c>
      <c r="P2033" s="6" t="s">
        <v>580</v>
      </c>
      <c r="Q2033" s="8" t="s">
        <v>45</v>
      </c>
      <c r="R2033" s="10" t="s">
        <v>600</v>
      </c>
      <c r="S2033" s="11"/>
      <c r="T2033" s="6"/>
      <c r="U2033" s="24" t="str">
        <f>HYPERLINK("https://media.infra-m.ru/0989/0989975/cover/989975.jpg", "Обложка")</f>
        <v>Обложка</v>
      </c>
      <c r="V2033" s="24" t="str">
        <f>HYPERLINK("https://znanium.ru/catalog/product/989975", "Ознакомиться")</f>
        <v>Ознакомиться</v>
      </c>
      <c r="W2033" s="8" t="s">
        <v>601</v>
      </c>
      <c r="X2033" s="6"/>
      <c r="Y2033" s="6"/>
      <c r="Z2033" s="6"/>
      <c r="AA2033" s="6" t="s">
        <v>68</v>
      </c>
      <c r="AB2033" s="8"/>
    </row>
    <row r="2034" spans="1:28" s="4" customFormat="1" ht="51.95" customHeight="1">
      <c r="A2034" s="5">
        <v>0</v>
      </c>
      <c r="B2034" s="6" t="s">
        <v>11668</v>
      </c>
      <c r="C2034" s="7">
        <v>2604</v>
      </c>
      <c r="D2034" s="8" t="s">
        <v>11669</v>
      </c>
      <c r="E2034" s="8" t="s">
        <v>11670</v>
      </c>
      <c r="F2034" s="8" t="s">
        <v>11671</v>
      </c>
      <c r="G2034" s="6" t="s">
        <v>132</v>
      </c>
      <c r="H2034" s="6" t="s">
        <v>99</v>
      </c>
      <c r="I2034" s="8"/>
      <c r="J2034" s="9">
        <v>1</v>
      </c>
      <c r="K2034" s="9">
        <v>416</v>
      </c>
      <c r="L2034" s="9">
        <v>2025</v>
      </c>
      <c r="M2034" s="8" t="s">
        <v>11672</v>
      </c>
      <c r="N2034" s="8" t="s">
        <v>42</v>
      </c>
      <c r="O2034" s="8" t="s">
        <v>101</v>
      </c>
      <c r="P2034" s="6" t="s">
        <v>44</v>
      </c>
      <c r="Q2034" s="8" t="s">
        <v>45</v>
      </c>
      <c r="R2034" s="10" t="s">
        <v>261</v>
      </c>
      <c r="S2034" s="11"/>
      <c r="T2034" s="6"/>
      <c r="U2034" s="24" t="str">
        <f>HYPERLINK("https://media.infra-m.ru/2205/2205956/cover/2205956.jpg", "Обложка")</f>
        <v>Обложка</v>
      </c>
      <c r="V2034" s="24" t="str">
        <f>HYPERLINK("https://znanium.ru/catalog/product/2117082", "Ознакомиться")</f>
        <v>Ознакомиться</v>
      </c>
      <c r="W2034" s="8" t="s">
        <v>103</v>
      </c>
      <c r="X2034" s="6"/>
      <c r="Y2034" s="6"/>
      <c r="Z2034" s="6"/>
      <c r="AA2034" s="6" t="s">
        <v>58</v>
      </c>
      <c r="AB2034" s="8"/>
    </row>
    <row r="2035" spans="1:28" s="4" customFormat="1" ht="44.1" customHeight="1">
      <c r="A2035" s="5">
        <v>0</v>
      </c>
      <c r="B2035" s="6" t="s">
        <v>11673</v>
      </c>
      <c r="C2035" s="7">
        <v>1140</v>
      </c>
      <c r="D2035" s="8" t="s">
        <v>11674</v>
      </c>
      <c r="E2035" s="8" t="s">
        <v>11675</v>
      </c>
      <c r="F2035" s="8" t="s">
        <v>11676</v>
      </c>
      <c r="G2035" s="6" t="s">
        <v>38</v>
      </c>
      <c r="H2035" s="6" t="s">
        <v>39</v>
      </c>
      <c r="I2035" s="8" t="s">
        <v>164</v>
      </c>
      <c r="J2035" s="9">
        <v>1</v>
      </c>
      <c r="K2035" s="9">
        <v>209</v>
      </c>
      <c r="L2035" s="9">
        <v>2022</v>
      </c>
      <c r="M2035" s="8" t="s">
        <v>11677</v>
      </c>
      <c r="N2035" s="8" t="s">
        <v>42</v>
      </c>
      <c r="O2035" s="8" t="s">
        <v>189</v>
      </c>
      <c r="P2035" s="6" t="s">
        <v>44</v>
      </c>
      <c r="Q2035" s="8" t="s">
        <v>45</v>
      </c>
      <c r="R2035" s="10" t="s">
        <v>190</v>
      </c>
      <c r="S2035" s="11"/>
      <c r="T2035" s="6"/>
      <c r="U2035" s="24" t="str">
        <f>HYPERLINK("https://media.infra-m.ru/1841/1841825/cover/1841825.jpg", "Обложка")</f>
        <v>Обложка</v>
      </c>
      <c r="V2035" s="24" t="str">
        <f>HYPERLINK("https://znanium.ru/catalog/product/1841825", "Ознакомиться")</f>
        <v>Ознакомиться</v>
      </c>
      <c r="W2035" s="8" t="s">
        <v>167</v>
      </c>
      <c r="X2035" s="6"/>
      <c r="Y2035" s="6"/>
      <c r="Z2035" s="6"/>
      <c r="AA2035" s="6" t="s">
        <v>111</v>
      </c>
      <c r="AB2035" s="8"/>
    </row>
    <row r="2036" spans="1:28" s="4" customFormat="1" ht="51.95" customHeight="1">
      <c r="A2036" s="5">
        <v>0</v>
      </c>
      <c r="B2036" s="6" t="s">
        <v>11678</v>
      </c>
      <c r="C2036" s="7">
        <v>1492.8</v>
      </c>
      <c r="D2036" s="8" t="s">
        <v>11679</v>
      </c>
      <c r="E2036" s="8" t="s">
        <v>11680</v>
      </c>
      <c r="F2036" s="8" t="s">
        <v>11681</v>
      </c>
      <c r="G2036" s="6" t="s">
        <v>38</v>
      </c>
      <c r="H2036" s="6" t="s">
        <v>39</v>
      </c>
      <c r="I2036" s="8" t="s">
        <v>40</v>
      </c>
      <c r="J2036" s="9">
        <v>1</v>
      </c>
      <c r="K2036" s="9">
        <v>270</v>
      </c>
      <c r="L2036" s="9">
        <v>2024</v>
      </c>
      <c r="M2036" s="8" t="s">
        <v>11682</v>
      </c>
      <c r="N2036" s="8" t="s">
        <v>42</v>
      </c>
      <c r="O2036" s="8" t="s">
        <v>189</v>
      </c>
      <c r="P2036" s="6" t="s">
        <v>44</v>
      </c>
      <c r="Q2036" s="8" t="s">
        <v>45</v>
      </c>
      <c r="R2036" s="10" t="s">
        <v>11683</v>
      </c>
      <c r="S2036" s="11"/>
      <c r="T2036" s="6"/>
      <c r="U2036" s="24" t="str">
        <f>HYPERLINK("https://media.infra-m.ru/2117/2117157/cover/2117157.jpg", "Обложка")</f>
        <v>Обложка</v>
      </c>
      <c r="V2036" s="24" t="str">
        <f>HYPERLINK("https://znanium.ru/catalog/product/1008028", "Ознакомиться")</f>
        <v>Ознакомиться</v>
      </c>
      <c r="W2036" s="8" t="s">
        <v>207</v>
      </c>
      <c r="X2036" s="6"/>
      <c r="Y2036" s="6"/>
      <c r="Z2036" s="6"/>
      <c r="AA2036" s="6" t="s">
        <v>290</v>
      </c>
      <c r="AB2036" s="8"/>
    </row>
    <row r="2037" spans="1:28" s="4" customFormat="1" ht="51.95" customHeight="1">
      <c r="A2037" s="5">
        <v>0</v>
      </c>
      <c r="B2037" s="6" t="s">
        <v>11684</v>
      </c>
      <c r="C2037" s="7">
        <v>2165.9</v>
      </c>
      <c r="D2037" s="8" t="s">
        <v>11685</v>
      </c>
      <c r="E2037" s="8" t="s">
        <v>11686</v>
      </c>
      <c r="F2037" s="8" t="s">
        <v>11687</v>
      </c>
      <c r="G2037" s="6" t="s">
        <v>132</v>
      </c>
      <c r="H2037" s="6" t="s">
        <v>571</v>
      </c>
      <c r="I2037" s="8"/>
      <c r="J2037" s="9">
        <v>1</v>
      </c>
      <c r="K2037" s="9">
        <v>400</v>
      </c>
      <c r="L2037" s="9">
        <v>2023</v>
      </c>
      <c r="M2037" s="8" t="s">
        <v>11688</v>
      </c>
      <c r="N2037" s="8" t="s">
        <v>42</v>
      </c>
      <c r="O2037" s="8" t="s">
        <v>246</v>
      </c>
      <c r="P2037" s="6" t="s">
        <v>44</v>
      </c>
      <c r="Q2037" s="8" t="s">
        <v>416</v>
      </c>
      <c r="R2037" s="10" t="s">
        <v>11689</v>
      </c>
      <c r="S2037" s="11"/>
      <c r="T2037" s="6"/>
      <c r="U2037" s="24" t="str">
        <f>HYPERLINK("https://media.infra-m.ru/1981/1981657/cover/1981657.jpg", "Обложка")</f>
        <v>Обложка</v>
      </c>
      <c r="V2037" s="24" t="str">
        <f>HYPERLINK("https://znanium.ru/catalog/product/960054", "Ознакомиться")</f>
        <v>Ознакомиться</v>
      </c>
      <c r="W2037" s="8" t="s">
        <v>1211</v>
      </c>
      <c r="X2037" s="6"/>
      <c r="Y2037" s="6"/>
      <c r="Z2037" s="6"/>
      <c r="AA2037" s="6" t="s">
        <v>127</v>
      </c>
      <c r="AB2037" s="8"/>
    </row>
    <row r="2038" spans="1:28" s="4" customFormat="1" ht="42" customHeight="1">
      <c r="A2038" s="5">
        <v>0</v>
      </c>
      <c r="B2038" s="6" t="s">
        <v>11690</v>
      </c>
      <c r="C2038" s="7">
        <v>1096.8</v>
      </c>
      <c r="D2038" s="8" t="s">
        <v>11691</v>
      </c>
      <c r="E2038" s="8" t="s">
        <v>11692</v>
      </c>
      <c r="F2038" s="8" t="s">
        <v>11693</v>
      </c>
      <c r="G2038" s="6" t="s">
        <v>132</v>
      </c>
      <c r="H2038" s="6" t="s">
        <v>39</v>
      </c>
      <c r="I2038" s="8" t="s">
        <v>40</v>
      </c>
      <c r="J2038" s="9">
        <v>1</v>
      </c>
      <c r="K2038" s="9">
        <v>200</v>
      </c>
      <c r="L2038" s="9">
        <v>2023</v>
      </c>
      <c r="M2038" s="8" t="s">
        <v>11694</v>
      </c>
      <c r="N2038" s="8" t="s">
        <v>229</v>
      </c>
      <c r="O2038" s="8" t="s">
        <v>230</v>
      </c>
      <c r="P2038" s="6" t="s">
        <v>44</v>
      </c>
      <c r="Q2038" s="8" t="s">
        <v>45</v>
      </c>
      <c r="R2038" s="10" t="s">
        <v>11695</v>
      </c>
      <c r="S2038" s="11"/>
      <c r="T2038" s="6"/>
      <c r="U2038" s="24" t="str">
        <f>HYPERLINK("https://media.infra-m.ru/2006/2006847/cover/2006847.jpg", "Обложка")</f>
        <v>Обложка</v>
      </c>
      <c r="V2038" s="24" t="str">
        <f>HYPERLINK("https://znanium.ru/catalog/product/924027", "Ознакомиться")</f>
        <v>Ознакомиться</v>
      </c>
      <c r="W2038" s="8" t="s">
        <v>6799</v>
      </c>
      <c r="X2038" s="6"/>
      <c r="Y2038" s="6"/>
      <c r="Z2038" s="6"/>
      <c r="AA2038" s="6" t="s">
        <v>68</v>
      </c>
      <c r="AB2038" s="8"/>
    </row>
    <row r="2039" spans="1:28" s="4" customFormat="1" ht="51.95" customHeight="1">
      <c r="A2039" s="5">
        <v>0</v>
      </c>
      <c r="B2039" s="6" t="s">
        <v>11696</v>
      </c>
      <c r="C2039" s="7">
        <v>1800</v>
      </c>
      <c r="D2039" s="8" t="s">
        <v>11697</v>
      </c>
      <c r="E2039" s="8" t="s">
        <v>11698</v>
      </c>
      <c r="F2039" s="8" t="s">
        <v>1649</v>
      </c>
      <c r="G2039" s="6" t="s">
        <v>81</v>
      </c>
      <c r="H2039" s="6" t="s">
        <v>39</v>
      </c>
      <c r="I2039" s="8" t="s">
        <v>1216</v>
      </c>
      <c r="J2039" s="9">
        <v>1</v>
      </c>
      <c r="K2039" s="9">
        <v>320</v>
      </c>
      <c r="L2039" s="9">
        <v>2023</v>
      </c>
      <c r="M2039" s="8" t="s">
        <v>11699</v>
      </c>
      <c r="N2039" s="8" t="s">
        <v>229</v>
      </c>
      <c r="O2039" s="8" t="s">
        <v>230</v>
      </c>
      <c r="P2039" s="6" t="s">
        <v>44</v>
      </c>
      <c r="Q2039" s="8" t="s">
        <v>45</v>
      </c>
      <c r="R2039" s="10" t="s">
        <v>11700</v>
      </c>
      <c r="S2039" s="11"/>
      <c r="T2039" s="6"/>
      <c r="U2039" s="24" t="str">
        <f>HYPERLINK("https://media.infra-m.ru/1976/1976167/cover/1976167.jpg", "Обложка")</f>
        <v>Обложка</v>
      </c>
      <c r="V2039" s="24" t="str">
        <f>HYPERLINK("https://znanium.ru/catalog/product/1976167", "Ознакомиться")</f>
        <v>Ознакомиться</v>
      </c>
      <c r="W2039" s="8" t="s">
        <v>1575</v>
      </c>
      <c r="X2039" s="6"/>
      <c r="Y2039" s="6"/>
      <c r="Z2039" s="6"/>
      <c r="AA2039" s="6" t="s">
        <v>168</v>
      </c>
      <c r="AB2039" s="8"/>
    </row>
    <row r="2040" spans="1:28" s="4" customFormat="1" ht="51.95" customHeight="1">
      <c r="A2040" s="5">
        <v>0</v>
      </c>
      <c r="B2040" s="6" t="s">
        <v>11701</v>
      </c>
      <c r="C2040" s="7">
        <v>1608</v>
      </c>
      <c r="D2040" s="8" t="s">
        <v>11702</v>
      </c>
      <c r="E2040" s="8" t="s">
        <v>11703</v>
      </c>
      <c r="F2040" s="8" t="s">
        <v>10355</v>
      </c>
      <c r="G2040" s="6" t="s">
        <v>38</v>
      </c>
      <c r="H2040" s="6" t="s">
        <v>39</v>
      </c>
      <c r="I2040" s="8" t="s">
        <v>11704</v>
      </c>
      <c r="J2040" s="9">
        <v>1</v>
      </c>
      <c r="K2040" s="9">
        <v>252</v>
      </c>
      <c r="L2040" s="9">
        <v>2026</v>
      </c>
      <c r="M2040" s="8" t="s">
        <v>11705</v>
      </c>
      <c r="N2040" s="8" t="s">
        <v>229</v>
      </c>
      <c r="O2040" s="8" t="s">
        <v>230</v>
      </c>
      <c r="P2040" s="6" t="s">
        <v>44</v>
      </c>
      <c r="Q2040" s="8" t="s">
        <v>1152</v>
      </c>
      <c r="R2040" s="10" t="s">
        <v>11706</v>
      </c>
      <c r="S2040" s="11"/>
      <c r="T2040" s="6"/>
      <c r="U2040" s="24" t="str">
        <f>HYPERLINK("https://media.infra-m.ru/2223/2223150/cover/2223150.jpg", "Обложка")</f>
        <v>Обложка</v>
      </c>
      <c r="V2040" s="24" t="str">
        <f>HYPERLINK("https://znanium.ru/catalog/product/2223150", "Ознакомиться")</f>
        <v>Ознакомиться</v>
      </c>
      <c r="W2040" s="8" t="s">
        <v>7660</v>
      </c>
      <c r="X2040" s="6"/>
      <c r="Y2040" s="6"/>
      <c r="Z2040" s="6"/>
      <c r="AA2040" s="6" t="s">
        <v>277</v>
      </c>
      <c r="AB2040" s="8"/>
    </row>
    <row r="2041" spans="1:28" s="4" customFormat="1" ht="51.95" customHeight="1">
      <c r="A2041" s="5">
        <v>0</v>
      </c>
      <c r="B2041" s="6" t="s">
        <v>11707</v>
      </c>
      <c r="C2041" s="13">
        <v>768</v>
      </c>
      <c r="D2041" s="8" t="s">
        <v>11708</v>
      </c>
      <c r="E2041" s="8" t="s">
        <v>11709</v>
      </c>
      <c r="F2041" s="8" t="s">
        <v>7505</v>
      </c>
      <c r="G2041" s="6" t="s">
        <v>38</v>
      </c>
      <c r="H2041" s="6" t="s">
        <v>39</v>
      </c>
      <c r="I2041" s="8" t="s">
        <v>40</v>
      </c>
      <c r="J2041" s="9">
        <v>1</v>
      </c>
      <c r="K2041" s="9">
        <v>142</v>
      </c>
      <c r="L2041" s="9">
        <v>2023</v>
      </c>
      <c r="M2041" s="8" t="s">
        <v>11710</v>
      </c>
      <c r="N2041" s="8" t="s">
        <v>42</v>
      </c>
      <c r="O2041" s="8" t="s">
        <v>246</v>
      </c>
      <c r="P2041" s="6" t="s">
        <v>44</v>
      </c>
      <c r="Q2041" s="8" t="s">
        <v>45</v>
      </c>
      <c r="R2041" s="10" t="s">
        <v>11711</v>
      </c>
      <c r="S2041" s="11"/>
      <c r="T2041" s="6"/>
      <c r="U2041" s="24" t="str">
        <f>HYPERLINK("https://media.infra-m.ru/1913/1913630/cover/1913630.jpg", "Обложка")</f>
        <v>Обложка</v>
      </c>
      <c r="V2041" s="24" t="str">
        <f>HYPERLINK("https://znanium.ru/catalog/product/1913630", "Ознакомиться")</f>
        <v>Ознакомиться</v>
      </c>
      <c r="W2041" s="8" t="s">
        <v>7507</v>
      </c>
      <c r="X2041" s="6"/>
      <c r="Y2041" s="6"/>
      <c r="Z2041" s="6"/>
      <c r="AA2041" s="6" t="s">
        <v>369</v>
      </c>
      <c r="AB2041" s="8"/>
    </row>
    <row r="2042" spans="1:28" s="4" customFormat="1" ht="51.95" customHeight="1">
      <c r="A2042" s="5">
        <v>0</v>
      </c>
      <c r="B2042" s="6" t="s">
        <v>11712</v>
      </c>
      <c r="C2042" s="13">
        <v>845.9</v>
      </c>
      <c r="D2042" s="8" t="s">
        <v>11713</v>
      </c>
      <c r="E2042" s="8" t="s">
        <v>11714</v>
      </c>
      <c r="F2042" s="8" t="s">
        <v>11715</v>
      </c>
      <c r="G2042" s="6" t="s">
        <v>132</v>
      </c>
      <c r="H2042" s="6" t="s">
        <v>39</v>
      </c>
      <c r="I2042" s="8"/>
      <c r="J2042" s="9">
        <v>1</v>
      </c>
      <c r="K2042" s="9">
        <v>180</v>
      </c>
      <c r="L2042" s="9">
        <v>2021</v>
      </c>
      <c r="M2042" s="8" t="s">
        <v>11716</v>
      </c>
      <c r="N2042" s="8" t="s">
        <v>42</v>
      </c>
      <c r="O2042" s="8" t="s">
        <v>189</v>
      </c>
      <c r="P2042" s="6" t="s">
        <v>44</v>
      </c>
      <c r="Q2042" s="8" t="s">
        <v>45</v>
      </c>
      <c r="R2042" s="10" t="s">
        <v>11717</v>
      </c>
      <c r="S2042" s="11"/>
      <c r="T2042" s="6" t="s">
        <v>1080</v>
      </c>
      <c r="U2042" s="24" t="str">
        <f>HYPERLINK("https://media.infra-m.ru/1081/1081400/cover/1081400.jpg", "Обложка")</f>
        <v>Обложка</v>
      </c>
      <c r="V2042" s="24" t="str">
        <f>HYPERLINK("https://znanium.ru/catalog/product/1081400", "Ознакомиться")</f>
        <v>Ознакомиться</v>
      </c>
      <c r="W2042" s="8" t="s">
        <v>167</v>
      </c>
      <c r="X2042" s="6"/>
      <c r="Y2042" s="6"/>
      <c r="Z2042" s="6"/>
      <c r="AA2042" s="6" t="s">
        <v>377</v>
      </c>
      <c r="AB2042" s="8"/>
    </row>
    <row r="2043" spans="1:28" s="4" customFormat="1" ht="51.95" customHeight="1">
      <c r="A2043" s="5">
        <v>0</v>
      </c>
      <c r="B2043" s="6" t="s">
        <v>11718</v>
      </c>
      <c r="C2043" s="7">
        <v>1572</v>
      </c>
      <c r="D2043" s="8" t="s">
        <v>11719</v>
      </c>
      <c r="E2043" s="8" t="s">
        <v>11720</v>
      </c>
      <c r="F2043" s="8" t="s">
        <v>11721</v>
      </c>
      <c r="G2043" s="6" t="s">
        <v>38</v>
      </c>
      <c r="H2043" s="6" t="s">
        <v>39</v>
      </c>
      <c r="I2043" s="8" t="s">
        <v>40</v>
      </c>
      <c r="J2043" s="9">
        <v>1</v>
      </c>
      <c r="K2043" s="9">
        <v>252</v>
      </c>
      <c r="L2043" s="9">
        <v>2025</v>
      </c>
      <c r="M2043" s="8" t="s">
        <v>11722</v>
      </c>
      <c r="N2043" s="8" t="s">
        <v>284</v>
      </c>
      <c r="O2043" s="8" t="s">
        <v>285</v>
      </c>
      <c r="P2043" s="6" t="s">
        <v>580</v>
      </c>
      <c r="Q2043" s="8" t="s">
        <v>45</v>
      </c>
      <c r="R2043" s="10" t="s">
        <v>11723</v>
      </c>
      <c r="S2043" s="11"/>
      <c r="T2043" s="6"/>
      <c r="U2043" s="24" t="str">
        <f>HYPERLINK("https://media.infra-m.ru/2157/2157003/cover/2157003.jpg", "Обложка")</f>
        <v>Обложка</v>
      </c>
      <c r="V2043" s="24" t="str">
        <f>HYPERLINK("https://znanium.ru/catalog/product/2157003", "Ознакомиться")</f>
        <v>Ознакомиться</v>
      </c>
      <c r="W2043" s="8" t="s">
        <v>5928</v>
      </c>
      <c r="X2043" s="6"/>
      <c r="Y2043" s="6"/>
      <c r="Z2043" s="6"/>
      <c r="AA2043" s="6" t="s">
        <v>377</v>
      </c>
      <c r="AB2043" s="8"/>
    </row>
    <row r="2044" spans="1:28" s="4" customFormat="1" ht="51.95" customHeight="1">
      <c r="A2044" s="5">
        <v>0</v>
      </c>
      <c r="B2044" s="6" t="s">
        <v>11724</v>
      </c>
      <c r="C2044" s="7">
        <v>1536</v>
      </c>
      <c r="D2044" s="8" t="s">
        <v>11725</v>
      </c>
      <c r="E2044" s="8" t="s">
        <v>11726</v>
      </c>
      <c r="F2044" s="8" t="s">
        <v>6030</v>
      </c>
      <c r="G2044" s="6" t="s">
        <v>81</v>
      </c>
      <c r="H2044" s="6" t="s">
        <v>39</v>
      </c>
      <c r="I2044" s="8" t="s">
        <v>40</v>
      </c>
      <c r="J2044" s="9">
        <v>1</v>
      </c>
      <c r="K2044" s="9">
        <v>364</v>
      </c>
      <c r="L2044" s="9">
        <v>2020</v>
      </c>
      <c r="M2044" s="8" t="s">
        <v>11727</v>
      </c>
      <c r="N2044" s="8" t="s">
        <v>42</v>
      </c>
      <c r="O2044" s="8" t="s">
        <v>246</v>
      </c>
      <c r="P2044" s="6" t="s">
        <v>44</v>
      </c>
      <c r="Q2044" s="8" t="s">
        <v>45</v>
      </c>
      <c r="R2044" s="10" t="s">
        <v>11728</v>
      </c>
      <c r="S2044" s="11"/>
      <c r="T2044" s="6" t="s">
        <v>1080</v>
      </c>
      <c r="U2044" s="24" t="str">
        <f>HYPERLINK("https://media.infra-m.ru/1042/1042593/cover/1042593.jpg", "Обложка")</f>
        <v>Обложка</v>
      </c>
      <c r="V2044" s="24" t="str">
        <f>HYPERLINK("https://znanium.ru/catalog/product/1042593", "Ознакомиться")</f>
        <v>Ознакомиться</v>
      </c>
      <c r="W2044" s="8" t="s">
        <v>5050</v>
      </c>
      <c r="X2044" s="6"/>
      <c r="Y2044" s="6"/>
      <c r="Z2044" s="6"/>
      <c r="AA2044" s="6" t="s">
        <v>369</v>
      </c>
      <c r="AB2044" s="8"/>
    </row>
    <row r="2045" spans="1:28" s="4" customFormat="1" ht="42" customHeight="1">
      <c r="A2045" s="5">
        <v>0</v>
      </c>
      <c r="B2045" s="6" t="s">
        <v>11729</v>
      </c>
      <c r="C2045" s="7">
        <v>1116</v>
      </c>
      <c r="D2045" s="8" t="s">
        <v>11730</v>
      </c>
      <c r="E2045" s="8" t="s">
        <v>11731</v>
      </c>
      <c r="F2045" s="8" t="s">
        <v>11732</v>
      </c>
      <c r="G2045" s="6" t="s">
        <v>38</v>
      </c>
      <c r="H2045" s="6" t="s">
        <v>39</v>
      </c>
      <c r="I2045" s="8" t="s">
        <v>40</v>
      </c>
      <c r="J2045" s="9">
        <v>1</v>
      </c>
      <c r="K2045" s="9">
        <v>180</v>
      </c>
      <c r="L2045" s="9">
        <v>2025</v>
      </c>
      <c r="M2045" s="8" t="s">
        <v>11733</v>
      </c>
      <c r="N2045" s="8" t="s">
        <v>284</v>
      </c>
      <c r="O2045" s="8" t="s">
        <v>717</v>
      </c>
      <c r="P2045" s="6" t="s">
        <v>44</v>
      </c>
      <c r="Q2045" s="8" t="s">
        <v>45</v>
      </c>
      <c r="R2045" s="10" t="s">
        <v>11734</v>
      </c>
      <c r="S2045" s="11"/>
      <c r="T2045" s="6"/>
      <c r="U2045" s="24" t="str">
        <f>HYPERLINK("https://media.infra-m.ru/2133/2133682/cover/2133682.jpg", "Обложка")</f>
        <v>Обложка</v>
      </c>
      <c r="V2045" s="24" t="str">
        <f>HYPERLINK("https://znanium.ru/catalog/product/2133682", "Ознакомиться")</f>
        <v>Ознакомиться</v>
      </c>
      <c r="W2045" s="8" t="s">
        <v>7027</v>
      </c>
      <c r="X2045" s="6"/>
      <c r="Y2045" s="6"/>
      <c r="Z2045" s="6"/>
      <c r="AA2045" s="6" t="s">
        <v>159</v>
      </c>
      <c r="AB2045" s="8" t="s">
        <v>255</v>
      </c>
    </row>
    <row r="2046" spans="1:28" s="4" customFormat="1" ht="42" customHeight="1">
      <c r="A2046" s="5">
        <v>0</v>
      </c>
      <c r="B2046" s="6" t="s">
        <v>11735</v>
      </c>
      <c r="C2046" s="7">
        <v>3064.8</v>
      </c>
      <c r="D2046" s="8" t="s">
        <v>11736</v>
      </c>
      <c r="E2046" s="8" t="s">
        <v>11737</v>
      </c>
      <c r="F2046" s="8" t="s">
        <v>11738</v>
      </c>
      <c r="G2046" s="6" t="s">
        <v>132</v>
      </c>
      <c r="H2046" s="6" t="s">
        <v>39</v>
      </c>
      <c r="I2046" s="8" t="s">
        <v>2022</v>
      </c>
      <c r="J2046" s="9">
        <v>1</v>
      </c>
      <c r="K2046" s="9">
        <v>510</v>
      </c>
      <c r="L2046" s="9">
        <v>2025</v>
      </c>
      <c r="M2046" s="8" t="s">
        <v>11739</v>
      </c>
      <c r="N2046" s="8" t="s">
        <v>284</v>
      </c>
      <c r="O2046" s="8" t="s">
        <v>285</v>
      </c>
      <c r="P2046" s="6" t="s">
        <v>286</v>
      </c>
      <c r="Q2046" s="8" t="s">
        <v>2024</v>
      </c>
      <c r="R2046" s="10" t="s">
        <v>11740</v>
      </c>
      <c r="S2046" s="11"/>
      <c r="T2046" s="6"/>
      <c r="U2046" s="24" t="str">
        <f>HYPERLINK("https://media.infra-m.ru/2170/2170077/cover/2170077.jpg", "Обложка")</f>
        <v>Обложка</v>
      </c>
      <c r="V2046" s="24" t="str">
        <f>HYPERLINK("https://znanium.ru/catalog/product/2149827", "Ознакомиться")</f>
        <v>Ознакомиться</v>
      </c>
      <c r="W2046" s="8" t="s">
        <v>191</v>
      </c>
      <c r="X2046" s="6"/>
      <c r="Y2046" s="6"/>
      <c r="Z2046" s="6"/>
      <c r="AA2046" s="6" t="s">
        <v>424</v>
      </c>
      <c r="AB2046" s="8"/>
    </row>
    <row r="2047" spans="1:28" s="4" customFormat="1" ht="33" customHeight="1">
      <c r="A2047" s="5">
        <v>0</v>
      </c>
      <c r="B2047" s="6" t="s">
        <v>11741</v>
      </c>
      <c r="C2047" s="13">
        <v>659.9</v>
      </c>
      <c r="D2047" s="8" t="s">
        <v>11742</v>
      </c>
      <c r="E2047" s="8" t="s">
        <v>11743</v>
      </c>
      <c r="F2047" s="8" t="s">
        <v>259</v>
      </c>
      <c r="G2047" s="6" t="s">
        <v>132</v>
      </c>
      <c r="H2047" s="6" t="s">
        <v>99</v>
      </c>
      <c r="I2047" s="8"/>
      <c r="J2047" s="9">
        <v>1</v>
      </c>
      <c r="K2047" s="9">
        <v>480</v>
      </c>
      <c r="L2047" s="9">
        <v>2016</v>
      </c>
      <c r="M2047" s="8" t="s">
        <v>11744</v>
      </c>
      <c r="N2047" s="8" t="s">
        <v>42</v>
      </c>
      <c r="O2047" s="8" t="s">
        <v>101</v>
      </c>
      <c r="P2047" s="6" t="s">
        <v>11745</v>
      </c>
      <c r="Q2047" s="8" t="s">
        <v>45</v>
      </c>
      <c r="R2047" s="10"/>
      <c r="S2047" s="11"/>
      <c r="T2047" s="6"/>
      <c r="U2047" s="12"/>
      <c r="V2047" s="12"/>
      <c r="W2047" s="8" t="s">
        <v>262</v>
      </c>
      <c r="X2047" s="6"/>
      <c r="Y2047" s="6"/>
      <c r="Z2047" s="6"/>
      <c r="AA2047" s="6" t="s">
        <v>290</v>
      </c>
      <c r="AB2047" s="8"/>
    </row>
    <row r="2048" spans="1:28" s="4" customFormat="1" ht="42" customHeight="1">
      <c r="A2048" s="5">
        <v>0</v>
      </c>
      <c r="B2048" s="6" t="s">
        <v>11746</v>
      </c>
      <c r="C2048" s="7">
        <v>1432.8</v>
      </c>
      <c r="D2048" s="8" t="s">
        <v>11747</v>
      </c>
      <c r="E2048" s="8" t="s">
        <v>11748</v>
      </c>
      <c r="F2048" s="8" t="s">
        <v>11749</v>
      </c>
      <c r="G2048" s="6" t="s">
        <v>81</v>
      </c>
      <c r="H2048" s="6" t="s">
        <v>571</v>
      </c>
      <c r="I2048" s="8"/>
      <c r="J2048" s="9">
        <v>1</v>
      </c>
      <c r="K2048" s="9">
        <v>224</v>
      </c>
      <c r="L2048" s="9">
        <v>2026</v>
      </c>
      <c r="M2048" s="8" t="s">
        <v>11750</v>
      </c>
      <c r="N2048" s="8" t="s">
        <v>42</v>
      </c>
      <c r="O2048" s="8" t="s">
        <v>189</v>
      </c>
      <c r="P2048" s="6" t="s">
        <v>44</v>
      </c>
      <c r="Q2048" s="8" t="s">
        <v>45</v>
      </c>
      <c r="R2048" s="10" t="s">
        <v>1426</v>
      </c>
      <c r="S2048" s="11"/>
      <c r="T2048" s="6"/>
      <c r="U2048" s="24" t="str">
        <f>HYPERLINK("https://media.infra-m.ru/2221/2221572/cover/2221572.jpg", "Обложка")</f>
        <v>Обложка</v>
      </c>
      <c r="V2048" s="24" t="str">
        <f>HYPERLINK("https://znanium.ru/catalog/product/2122041", "Ознакомиться")</f>
        <v>Ознакомиться</v>
      </c>
      <c r="W2048" s="8"/>
      <c r="X2048" s="6"/>
      <c r="Y2048" s="6"/>
      <c r="Z2048" s="6"/>
      <c r="AA2048" s="6" t="s">
        <v>111</v>
      </c>
      <c r="AB2048" s="8"/>
    </row>
    <row r="2049" spans="1:28" s="4" customFormat="1" ht="42" customHeight="1">
      <c r="A2049" s="5">
        <v>0</v>
      </c>
      <c r="B2049" s="6" t="s">
        <v>11751</v>
      </c>
      <c r="C2049" s="7">
        <v>1960.8</v>
      </c>
      <c r="D2049" s="8" t="s">
        <v>11752</v>
      </c>
      <c r="E2049" s="8" t="s">
        <v>11753</v>
      </c>
      <c r="F2049" s="8" t="s">
        <v>11754</v>
      </c>
      <c r="G2049" s="6" t="s">
        <v>132</v>
      </c>
      <c r="H2049" s="6" t="s">
        <v>39</v>
      </c>
      <c r="I2049" s="8" t="s">
        <v>851</v>
      </c>
      <c r="J2049" s="9">
        <v>1</v>
      </c>
      <c r="K2049" s="9">
        <v>314</v>
      </c>
      <c r="L2049" s="9">
        <v>2025</v>
      </c>
      <c r="M2049" s="8" t="s">
        <v>11755</v>
      </c>
      <c r="N2049" s="8" t="s">
        <v>42</v>
      </c>
      <c r="O2049" s="8" t="s">
        <v>2306</v>
      </c>
      <c r="P2049" s="6" t="s">
        <v>659</v>
      </c>
      <c r="Q2049" s="8" t="s">
        <v>45</v>
      </c>
      <c r="R2049" s="10" t="s">
        <v>7214</v>
      </c>
      <c r="S2049" s="11"/>
      <c r="T2049" s="6"/>
      <c r="U2049" s="24" t="str">
        <f>HYPERLINK("https://media.infra-m.ru/2196/2196490/cover/2196490.jpg", "Обложка")</f>
        <v>Обложка</v>
      </c>
      <c r="V2049" s="24" t="str">
        <f>HYPERLINK("https://znanium.ru/catalog/product/1042089", "Ознакомиться")</f>
        <v>Ознакомиться</v>
      </c>
      <c r="W2049" s="8" t="s">
        <v>11756</v>
      </c>
      <c r="X2049" s="6"/>
      <c r="Y2049" s="6"/>
      <c r="Z2049" s="6"/>
      <c r="AA2049" s="6" t="s">
        <v>127</v>
      </c>
      <c r="AB2049" s="8"/>
    </row>
    <row r="2050" spans="1:28" s="4" customFormat="1" ht="42" customHeight="1">
      <c r="A2050" s="5">
        <v>0</v>
      </c>
      <c r="B2050" s="6" t="s">
        <v>11757</v>
      </c>
      <c r="C2050" s="7">
        <v>2396.4</v>
      </c>
      <c r="D2050" s="8" t="s">
        <v>11758</v>
      </c>
      <c r="E2050" s="8" t="s">
        <v>11759</v>
      </c>
      <c r="F2050" s="8" t="s">
        <v>11760</v>
      </c>
      <c r="G2050" s="6" t="s">
        <v>132</v>
      </c>
      <c r="H2050" s="6" t="s">
        <v>3369</v>
      </c>
      <c r="I2050" s="8" t="s">
        <v>851</v>
      </c>
      <c r="J2050" s="9">
        <v>1</v>
      </c>
      <c r="K2050" s="9">
        <v>629</v>
      </c>
      <c r="L2050" s="9">
        <v>2024</v>
      </c>
      <c r="M2050" s="8" t="s">
        <v>11761</v>
      </c>
      <c r="N2050" s="8" t="s">
        <v>42</v>
      </c>
      <c r="O2050" s="8" t="s">
        <v>2306</v>
      </c>
      <c r="P2050" s="6" t="s">
        <v>659</v>
      </c>
      <c r="Q2050" s="8" t="s">
        <v>45</v>
      </c>
      <c r="R2050" s="10" t="s">
        <v>11762</v>
      </c>
      <c r="S2050" s="11"/>
      <c r="T2050" s="6"/>
      <c r="U2050" s="24" t="str">
        <f>HYPERLINK("https://media.infra-m.ru/2129/2129190/cover/2129190.jpg", "Обложка")</f>
        <v>Обложка</v>
      </c>
      <c r="V2050" s="24" t="str">
        <f>HYPERLINK("https://znanium.ru/catalog/product/1154378", "Ознакомиться")</f>
        <v>Ознакомиться</v>
      </c>
      <c r="W2050" s="8" t="s">
        <v>11763</v>
      </c>
      <c r="X2050" s="6"/>
      <c r="Y2050" s="6"/>
      <c r="Z2050" s="6"/>
      <c r="AA2050" s="6" t="s">
        <v>241</v>
      </c>
      <c r="AB2050" s="8"/>
    </row>
    <row r="2051" spans="1:28" s="4" customFormat="1" ht="51.95" customHeight="1">
      <c r="A2051" s="5">
        <v>0</v>
      </c>
      <c r="B2051" s="6" t="s">
        <v>11764</v>
      </c>
      <c r="C2051" s="7">
        <v>3112.8</v>
      </c>
      <c r="D2051" s="8" t="s">
        <v>11765</v>
      </c>
      <c r="E2051" s="8" t="s">
        <v>11766</v>
      </c>
      <c r="F2051" s="8" t="s">
        <v>11767</v>
      </c>
      <c r="G2051" s="6" t="s">
        <v>81</v>
      </c>
      <c r="H2051" s="6" t="s">
        <v>39</v>
      </c>
      <c r="I2051" s="8" t="s">
        <v>851</v>
      </c>
      <c r="J2051" s="9">
        <v>1</v>
      </c>
      <c r="K2051" s="9">
        <v>512</v>
      </c>
      <c r="L2051" s="9">
        <v>2025</v>
      </c>
      <c r="M2051" s="8" t="s">
        <v>11768</v>
      </c>
      <c r="N2051" s="8" t="s">
        <v>42</v>
      </c>
      <c r="O2051" s="8" t="s">
        <v>189</v>
      </c>
      <c r="P2051" s="6" t="s">
        <v>1195</v>
      </c>
      <c r="Q2051" s="8" t="s">
        <v>287</v>
      </c>
      <c r="R2051" s="10" t="s">
        <v>11769</v>
      </c>
      <c r="S2051" s="11"/>
      <c r="T2051" s="6"/>
      <c r="U2051" s="24" t="str">
        <f>HYPERLINK("https://media.infra-m.ru/2208/2208469/cover/2208469.jpg", "Обложка")</f>
        <v>Обложка</v>
      </c>
      <c r="V2051" s="24" t="str">
        <f>HYPERLINK("https://znanium.ru/catalog/product/2136248", "Ознакомиться")</f>
        <v>Ознакомиться</v>
      </c>
      <c r="W2051" s="8" t="s">
        <v>11763</v>
      </c>
      <c r="X2051" s="6"/>
      <c r="Y2051" s="6"/>
      <c r="Z2051" s="6"/>
      <c r="AA2051" s="6" t="s">
        <v>11770</v>
      </c>
      <c r="AB2051" s="8"/>
    </row>
    <row r="2052" spans="1:28" s="4" customFormat="1" ht="42" customHeight="1">
      <c r="A2052" s="5">
        <v>0</v>
      </c>
      <c r="B2052" s="6" t="s">
        <v>11771</v>
      </c>
      <c r="C2052" s="7">
        <v>1420.8</v>
      </c>
      <c r="D2052" s="8" t="s">
        <v>11772</v>
      </c>
      <c r="E2052" s="8" t="s">
        <v>11773</v>
      </c>
      <c r="F2052" s="8" t="s">
        <v>11774</v>
      </c>
      <c r="G2052" s="6" t="s">
        <v>132</v>
      </c>
      <c r="H2052" s="6" t="s">
        <v>39</v>
      </c>
      <c r="I2052" s="8" t="s">
        <v>40</v>
      </c>
      <c r="J2052" s="9">
        <v>1</v>
      </c>
      <c r="K2052" s="9">
        <v>252</v>
      </c>
      <c r="L2052" s="9">
        <v>2024</v>
      </c>
      <c r="M2052" s="8" t="s">
        <v>11775</v>
      </c>
      <c r="N2052" s="8" t="s">
        <v>284</v>
      </c>
      <c r="O2052" s="8" t="s">
        <v>285</v>
      </c>
      <c r="P2052" s="6" t="s">
        <v>44</v>
      </c>
      <c r="Q2052" s="8" t="s">
        <v>45</v>
      </c>
      <c r="R2052" s="10" t="s">
        <v>11776</v>
      </c>
      <c r="S2052" s="11"/>
      <c r="T2052" s="6"/>
      <c r="U2052" s="24" t="str">
        <f>HYPERLINK("https://media.infra-m.ru/2136/2136576/cover/2136576.jpg", "Обложка")</f>
        <v>Обложка</v>
      </c>
      <c r="V2052" s="24" t="str">
        <f>HYPERLINK("https://znanium.ru/catalog/product/1000599", "Ознакомиться")</f>
        <v>Ознакомиться</v>
      </c>
      <c r="W2052" s="8" t="s">
        <v>11777</v>
      </c>
      <c r="X2052" s="6"/>
      <c r="Y2052" s="6"/>
      <c r="Z2052" s="6"/>
      <c r="AA2052" s="6" t="s">
        <v>168</v>
      </c>
      <c r="AB2052" s="8"/>
    </row>
    <row r="2053" spans="1:28" s="4" customFormat="1" ht="44.1" customHeight="1">
      <c r="A2053" s="5">
        <v>0</v>
      </c>
      <c r="B2053" s="6" t="s">
        <v>11778</v>
      </c>
      <c r="C2053" s="7">
        <v>1188</v>
      </c>
      <c r="D2053" s="8" t="s">
        <v>11779</v>
      </c>
      <c r="E2053" s="8" t="s">
        <v>11780</v>
      </c>
      <c r="F2053" s="8" t="s">
        <v>11781</v>
      </c>
      <c r="G2053" s="6" t="s">
        <v>38</v>
      </c>
      <c r="H2053" s="6" t="s">
        <v>39</v>
      </c>
      <c r="I2053" s="8" t="s">
        <v>164</v>
      </c>
      <c r="J2053" s="9">
        <v>1</v>
      </c>
      <c r="K2053" s="9">
        <v>177</v>
      </c>
      <c r="L2053" s="9">
        <v>2025</v>
      </c>
      <c r="M2053" s="8" t="s">
        <v>11782</v>
      </c>
      <c r="N2053" s="8" t="s">
        <v>42</v>
      </c>
      <c r="O2053" s="8" t="s">
        <v>101</v>
      </c>
      <c r="P2053" s="6" t="s">
        <v>44</v>
      </c>
      <c r="Q2053" s="8" t="s">
        <v>45</v>
      </c>
      <c r="R2053" s="10" t="s">
        <v>11783</v>
      </c>
      <c r="S2053" s="11"/>
      <c r="T2053" s="6"/>
      <c r="U2053" s="24" t="str">
        <f>HYPERLINK("https://media.infra-m.ru/2163/2163328/cover/2163328.jpg", "Обложка")</f>
        <v>Обложка</v>
      </c>
      <c r="V2053" s="24" t="str">
        <f>HYPERLINK("https://znanium.ru/catalog/product/2163328", "Ознакомиться")</f>
        <v>Ознакомиться</v>
      </c>
      <c r="W2053" s="8" t="s">
        <v>167</v>
      </c>
      <c r="X2053" s="6" t="s">
        <v>306</v>
      </c>
      <c r="Y2053" s="6"/>
      <c r="Z2053" s="6"/>
      <c r="AA2053" s="6" t="s">
        <v>159</v>
      </c>
      <c r="AB2053" s="8"/>
    </row>
    <row r="2054" spans="1:28" s="4" customFormat="1" ht="51.95" customHeight="1">
      <c r="A2054" s="5">
        <v>0</v>
      </c>
      <c r="B2054" s="6" t="s">
        <v>11784</v>
      </c>
      <c r="C2054" s="7">
        <v>1444.8</v>
      </c>
      <c r="D2054" s="8" t="s">
        <v>11785</v>
      </c>
      <c r="E2054" s="8" t="s">
        <v>11786</v>
      </c>
      <c r="F2054" s="8" t="s">
        <v>2107</v>
      </c>
      <c r="G2054" s="6" t="s">
        <v>38</v>
      </c>
      <c r="H2054" s="6" t="s">
        <v>99</v>
      </c>
      <c r="I2054" s="8"/>
      <c r="J2054" s="9">
        <v>1</v>
      </c>
      <c r="K2054" s="9">
        <v>240</v>
      </c>
      <c r="L2054" s="9">
        <v>2025</v>
      </c>
      <c r="M2054" s="8" t="s">
        <v>11787</v>
      </c>
      <c r="N2054" s="8" t="s">
        <v>54</v>
      </c>
      <c r="O2054" s="8" t="s">
        <v>91</v>
      </c>
      <c r="P2054" s="6" t="s">
        <v>44</v>
      </c>
      <c r="Q2054" s="8" t="s">
        <v>45</v>
      </c>
      <c r="R2054" s="10" t="s">
        <v>11788</v>
      </c>
      <c r="S2054" s="11"/>
      <c r="T2054" s="6"/>
      <c r="U2054" s="24" t="str">
        <f>HYPERLINK("https://media.infra-m.ru/2174/2174446/cover/2174446.jpg", "Обложка")</f>
        <v>Обложка</v>
      </c>
      <c r="V2054" s="24" t="str">
        <f>HYPERLINK("https://znanium.ru/catalog/product/1859045", "Ознакомиться")</f>
        <v>Ознакомиться</v>
      </c>
      <c r="W2054" s="8" t="s">
        <v>565</v>
      </c>
      <c r="X2054" s="6"/>
      <c r="Y2054" s="6"/>
      <c r="Z2054" s="6"/>
      <c r="AA2054" s="6" t="s">
        <v>536</v>
      </c>
      <c r="AB2054" s="8"/>
    </row>
    <row r="2055" spans="1:28" s="4" customFormat="1" ht="51.95" customHeight="1">
      <c r="A2055" s="5">
        <v>0</v>
      </c>
      <c r="B2055" s="6" t="s">
        <v>11789</v>
      </c>
      <c r="C2055" s="7">
        <v>1444.8</v>
      </c>
      <c r="D2055" s="8" t="s">
        <v>11790</v>
      </c>
      <c r="E2055" s="8" t="s">
        <v>11791</v>
      </c>
      <c r="F2055" s="8" t="s">
        <v>2107</v>
      </c>
      <c r="G2055" s="6" t="s">
        <v>38</v>
      </c>
      <c r="H2055" s="6" t="s">
        <v>99</v>
      </c>
      <c r="I2055" s="8"/>
      <c r="J2055" s="9">
        <v>1</v>
      </c>
      <c r="K2055" s="9">
        <v>240</v>
      </c>
      <c r="L2055" s="9">
        <v>2025</v>
      </c>
      <c r="M2055" s="8" t="s">
        <v>11787</v>
      </c>
      <c r="N2055" s="8" t="s">
        <v>54</v>
      </c>
      <c r="O2055" s="8" t="s">
        <v>91</v>
      </c>
      <c r="P2055" s="6" t="s">
        <v>44</v>
      </c>
      <c r="Q2055" s="8" t="s">
        <v>3762</v>
      </c>
      <c r="R2055" s="10" t="s">
        <v>11788</v>
      </c>
      <c r="S2055" s="11"/>
      <c r="T2055" s="6"/>
      <c r="U2055" s="24" t="str">
        <f>HYPERLINK("https://media.infra-m.ru/2184/2184382/cover/2184382.jpg", "Обложка")</f>
        <v>Обложка</v>
      </c>
      <c r="V2055" s="24" t="str">
        <f>HYPERLINK("https://znanium.ru/catalog/product/1859045", "Ознакомиться")</f>
        <v>Ознакомиться</v>
      </c>
      <c r="W2055" s="8" t="s">
        <v>565</v>
      </c>
      <c r="X2055" s="6"/>
      <c r="Y2055" s="6"/>
      <c r="Z2055" s="6"/>
      <c r="AA2055" s="6" t="s">
        <v>11792</v>
      </c>
      <c r="AB2055" s="8"/>
    </row>
    <row r="2056" spans="1:28" s="4" customFormat="1" ht="42" customHeight="1">
      <c r="A2056" s="5">
        <v>0</v>
      </c>
      <c r="B2056" s="6" t="s">
        <v>11793</v>
      </c>
      <c r="C2056" s="7">
        <v>2098.8000000000002</v>
      </c>
      <c r="D2056" s="8" t="s">
        <v>11794</v>
      </c>
      <c r="E2056" s="8" t="s">
        <v>11795</v>
      </c>
      <c r="F2056" s="8"/>
      <c r="G2056" s="6" t="s">
        <v>38</v>
      </c>
      <c r="H2056" s="6" t="s">
        <v>11796</v>
      </c>
      <c r="I2056" s="8"/>
      <c r="J2056" s="9">
        <v>1</v>
      </c>
      <c r="K2056" s="9">
        <v>123</v>
      </c>
      <c r="L2056" s="9">
        <v>2020</v>
      </c>
      <c r="M2056" s="8"/>
      <c r="N2056" s="8" t="s">
        <v>220</v>
      </c>
      <c r="O2056" s="8" t="s">
        <v>252</v>
      </c>
      <c r="P2056" s="6" t="s">
        <v>183</v>
      </c>
      <c r="Q2056" s="8" t="s">
        <v>45</v>
      </c>
      <c r="R2056" s="10"/>
      <c r="S2056" s="11"/>
      <c r="T2056" s="6"/>
      <c r="U2056" s="24" t="str">
        <f>HYPERLINK("https://media.infra-m.ru/1074/1074457/cover/1074457.jpg", "Обложка")</f>
        <v>Обложка</v>
      </c>
      <c r="V2056" s="24" t="str">
        <f>HYPERLINK("https://znanium.ru/catalog/product/2226641", "Ознакомиться")</f>
        <v>Ознакомиться</v>
      </c>
      <c r="W2056" s="8"/>
      <c r="X2056" s="6"/>
      <c r="Y2056" s="6"/>
      <c r="Z2056" s="6"/>
      <c r="AA2056" s="6"/>
      <c r="AB2056" s="8"/>
    </row>
    <row r="2057" spans="1:28" s="4" customFormat="1" ht="42" customHeight="1">
      <c r="A2057" s="5">
        <v>0</v>
      </c>
      <c r="B2057" s="6" t="s">
        <v>11797</v>
      </c>
      <c r="C2057" s="7">
        <v>1188</v>
      </c>
      <c r="D2057" s="8" t="s">
        <v>11798</v>
      </c>
      <c r="E2057" s="8" t="s">
        <v>11799</v>
      </c>
      <c r="F2057" s="8" t="s">
        <v>11800</v>
      </c>
      <c r="G2057" s="6" t="s">
        <v>81</v>
      </c>
      <c r="H2057" s="6" t="s">
        <v>39</v>
      </c>
      <c r="I2057" s="8" t="s">
        <v>344</v>
      </c>
      <c r="J2057" s="9">
        <v>1</v>
      </c>
      <c r="K2057" s="9">
        <v>198</v>
      </c>
      <c r="L2057" s="9">
        <v>2025</v>
      </c>
      <c r="M2057" s="8" t="s">
        <v>11801</v>
      </c>
      <c r="N2057" s="8" t="s">
        <v>284</v>
      </c>
      <c r="O2057" s="8" t="s">
        <v>285</v>
      </c>
      <c r="P2057" s="6" t="s">
        <v>44</v>
      </c>
      <c r="Q2057" s="8" t="s">
        <v>45</v>
      </c>
      <c r="R2057" s="10" t="s">
        <v>11802</v>
      </c>
      <c r="S2057" s="11"/>
      <c r="T2057" s="6"/>
      <c r="U2057" s="24" t="str">
        <f>HYPERLINK("https://media.infra-m.ru/2184/2184879/cover/2184879.jpg", "Обложка")</f>
        <v>Обложка</v>
      </c>
      <c r="V2057" s="12"/>
      <c r="W2057" s="8" t="s">
        <v>346</v>
      </c>
      <c r="X2057" s="6"/>
      <c r="Y2057" s="6"/>
      <c r="Z2057" s="6"/>
      <c r="AA2057" s="6" t="s">
        <v>68</v>
      </c>
      <c r="AB2057" s="8"/>
    </row>
    <row r="2058" spans="1:28" s="4" customFormat="1" ht="51.95" customHeight="1">
      <c r="A2058" s="5">
        <v>0</v>
      </c>
      <c r="B2058" s="6" t="s">
        <v>11803</v>
      </c>
      <c r="C2058" s="13">
        <v>593.9</v>
      </c>
      <c r="D2058" s="8" t="s">
        <v>11804</v>
      </c>
      <c r="E2058" s="8" t="s">
        <v>11805</v>
      </c>
      <c r="F2058" s="8" t="s">
        <v>11806</v>
      </c>
      <c r="G2058" s="6" t="s">
        <v>38</v>
      </c>
      <c r="H2058" s="6" t="s">
        <v>182</v>
      </c>
      <c r="I2058" s="8" t="s">
        <v>40</v>
      </c>
      <c r="J2058" s="9">
        <v>1</v>
      </c>
      <c r="K2058" s="9">
        <v>140</v>
      </c>
      <c r="L2058" s="9">
        <v>2020</v>
      </c>
      <c r="M2058" s="8" t="s">
        <v>11807</v>
      </c>
      <c r="N2058" s="8" t="s">
        <v>42</v>
      </c>
      <c r="O2058" s="8" t="s">
        <v>189</v>
      </c>
      <c r="P2058" s="6" t="s">
        <v>44</v>
      </c>
      <c r="Q2058" s="8" t="s">
        <v>45</v>
      </c>
      <c r="R2058" s="10" t="s">
        <v>11808</v>
      </c>
      <c r="S2058" s="11"/>
      <c r="T2058" s="6"/>
      <c r="U2058" s="24" t="str">
        <f>HYPERLINK("https://media.infra-m.ru/1047/1047171/cover/1047171.jpg", "Обложка")</f>
        <v>Обложка</v>
      </c>
      <c r="V2058" s="24" t="str">
        <f>HYPERLINK("https://znanium.ru/catalog/product/1047171", "Ознакомиться")</f>
        <v>Ознакомиться</v>
      </c>
      <c r="W2058" s="8" t="s">
        <v>167</v>
      </c>
      <c r="X2058" s="6"/>
      <c r="Y2058" s="6"/>
      <c r="Z2058" s="6"/>
      <c r="AA2058" s="6" t="s">
        <v>339</v>
      </c>
      <c r="AB2058" s="8"/>
    </row>
    <row r="2059" spans="1:28" s="4" customFormat="1" ht="42" customHeight="1">
      <c r="A2059" s="5">
        <v>0</v>
      </c>
      <c r="B2059" s="6" t="s">
        <v>11809</v>
      </c>
      <c r="C2059" s="7">
        <v>1624.8</v>
      </c>
      <c r="D2059" s="8" t="s">
        <v>11810</v>
      </c>
      <c r="E2059" s="8" t="s">
        <v>11811</v>
      </c>
      <c r="F2059" s="8" t="s">
        <v>11812</v>
      </c>
      <c r="G2059" s="6" t="s">
        <v>132</v>
      </c>
      <c r="H2059" s="6" t="s">
        <v>99</v>
      </c>
      <c r="I2059" s="8"/>
      <c r="J2059" s="9">
        <v>1</v>
      </c>
      <c r="K2059" s="9">
        <v>288</v>
      </c>
      <c r="L2059" s="9">
        <v>2024</v>
      </c>
      <c r="M2059" s="8" t="s">
        <v>11813</v>
      </c>
      <c r="N2059" s="8" t="s">
        <v>42</v>
      </c>
      <c r="O2059" s="8" t="s">
        <v>101</v>
      </c>
      <c r="P2059" s="6" t="s">
        <v>44</v>
      </c>
      <c r="Q2059" s="8" t="s">
        <v>45</v>
      </c>
      <c r="R2059" s="10" t="s">
        <v>269</v>
      </c>
      <c r="S2059" s="11"/>
      <c r="T2059" s="6"/>
      <c r="U2059" s="24" t="str">
        <f>HYPERLINK("https://media.infra-m.ru/2123/2123405/cover/2123405.jpg", "Обложка")</f>
        <v>Обложка</v>
      </c>
      <c r="V2059" s="24" t="str">
        <f>HYPERLINK("https://znanium.ru/catalog/product/1867905", "Ознакомиться")</f>
        <v>Ознакомиться</v>
      </c>
      <c r="W2059" s="8" t="s">
        <v>11814</v>
      </c>
      <c r="X2059" s="6"/>
      <c r="Y2059" s="6"/>
      <c r="Z2059" s="6"/>
      <c r="AA2059" s="6" t="s">
        <v>111</v>
      </c>
      <c r="AB2059" s="8"/>
    </row>
    <row r="2060" spans="1:28" s="4" customFormat="1" ht="51.95" customHeight="1">
      <c r="A2060" s="5">
        <v>0</v>
      </c>
      <c r="B2060" s="6" t="s">
        <v>11815</v>
      </c>
      <c r="C2060" s="7">
        <v>1128</v>
      </c>
      <c r="D2060" s="8" t="s">
        <v>11816</v>
      </c>
      <c r="E2060" s="8" t="s">
        <v>11817</v>
      </c>
      <c r="F2060" s="8" t="s">
        <v>11812</v>
      </c>
      <c r="G2060" s="6" t="s">
        <v>81</v>
      </c>
      <c r="H2060" s="6" t="s">
        <v>99</v>
      </c>
      <c r="I2060" s="8"/>
      <c r="J2060" s="9">
        <v>1</v>
      </c>
      <c r="K2060" s="9">
        <v>240</v>
      </c>
      <c r="L2060" s="9">
        <v>2022</v>
      </c>
      <c r="M2060" s="8" t="s">
        <v>11818</v>
      </c>
      <c r="N2060" s="8" t="s">
        <v>42</v>
      </c>
      <c r="O2060" s="8" t="s">
        <v>101</v>
      </c>
      <c r="P2060" s="6" t="s">
        <v>44</v>
      </c>
      <c r="Q2060" s="8" t="s">
        <v>3762</v>
      </c>
      <c r="R2060" s="10" t="s">
        <v>5214</v>
      </c>
      <c r="S2060" s="11"/>
      <c r="T2060" s="6"/>
      <c r="U2060" s="24" t="str">
        <f>HYPERLINK("https://media.infra-m.ru/1816/1816676/cover/1816676.jpg", "Обложка")</f>
        <v>Обложка</v>
      </c>
      <c r="V2060" s="24" t="str">
        <f>HYPERLINK("https://znanium.ru/catalog/product/1816676", "Ознакомиться")</f>
        <v>Ознакомиться</v>
      </c>
      <c r="W2060" s="8" t="s">
        <v>11814</v>
      </c>
      <c r="X2060" s="6"/>
      <c r="Y2060" s="6"/>
      <c r="Z2060" s="6"/>
      <c r="AA2060" s="6" t="s">
        <v>76</v>
      </c>
      <c r="AB2060" s="8"/>
    </row>
    <row r="2061" spans="1:28" s="4" customFormat="1" ht="51.95" customHeight="1">
      <c r="A2061" s="5">
        <v>0</v>
      </c>
      <c r="B2061" s="6" t="s">
        <v>11819</v>
      </c>
      <c r="C2061" s="7">
        <v>2004</v>
      </c>
      <c r="D2061" s="8" t="s">
        <v>11820</v>
      </c>
      <c r="E2061" s="8" t="s">
        <v>11821</v>
      </c>
      <c r="F2061" s="8" t="s">
        <v>11822</v>
      </c>
      <c r="G2061" s="6" t="s">
        <v>38</v>
      </c>
      <c r="H2061" s="6" t="s">
        <v>39</v>
      </c>
      <c r="I2061" s="8" t="s">
        <v>40</v>
      </c>
      <c r="J2061" s="9">
        <v>1</v>
      </c>
      <c r="K2061" s="9">
        <v>320</v>
      </c>
      <c r="L2061" s="9">
        <v>2026</v>
      </c>
      <c r="M2061" s="8" t="s">
        <v>11823</v>
      </c>
      <c r="N2061" s="8" t="s">
        <v>54</v>
      </c>
      <c r="O2061" s="8" t="s">
        <v>6646</v>
      </c>
      <c r="P2061" s="6" t="s">
        <v>44</v>
      </c>
      <c r="Q2061" s="8" t="s">
        <v>45</v>
      </c>
      <c r="R2061" s="10" t="s">
        <v>11824</v>
      </c>
      <c r="S2061" s="11"/>
      <c r="T2061" s="6"/>
      <c r="U2061" s="24" t="str">
        <f>HYPERLINK("https://media.infra-m.ru/2222/2222663/cover/2222663.jpg", "Обложка")</f>
        <v>Обложка</v>
      </c>
      <c r="V2061" s="24" t="str">
        <f>HYPERLINK("https://znanium.ru/catalog/product/2222663", "Ознакомиться")</f>
        <v>Ознакомиться</v>
      </c>
      <c r="W2061" s="8"/>
      <c r="X2061" s="6"/>
      <c r="Y2061" s="6"/>
      <c r="Z2061" s="6"/>
      <c r="AA2061" s="6" t="s">
        <v>168</v>
      </c>
      <c r="AB2061" s="8"/>
    </row>
    <row r="2062" spans="1:28" s="4" customFormat="1" ht="51.95" customHeight="1">
      <c r="A2062" s="5">
        <v>0</v>
      </c>
      <c r="B2062" s="6" t="s">
        <v>11825</v>
      </c>
      <c r="C2062" s="7">
        <v>2105.9</v>
      </c>
      <c r="D2062" s="8" t="s">
        <v>11826</v>
      </c>
      <c r="E2062" s="8" t="s">
        <v>11827</v>
      </c>
      <c r="F2062" s="8" t="s">
        <v>703</v>
      </c>
      <c r="G2062" s="6" t="s">
        <v>81</v>
      </c>
      <c r="H2062" s="6" t="s">
        <v>39</v>
      </c>
      <c r="I2062" s="8" t="s">
        <v>40</v>
      </c>
      <c r="J2062" s="9">
        <v>1</v>
      </c>
      <c r="K2062" s="9">
        <v>390</v>
      </c>
      <c r="L2062" s="9">
        <v>2023</v>
      </c>
      <c r="M2062" s="8" t="s">
        <v>11828</v>
      </c>
      <c r="N2062" s="8" t="s">
        <v>54</v>
      </c>
      <c r="O2062" s="8" t="s">
        <v>55</v>
      </c>
      <c r="P2062" s="6" t="s">
        <v>44</v>
      </c>
      <c r="Q2062" s="8" t="s">
        <v>45</v>
      </c>
      <c r="R2062" s="10" t="s">
        <v>666</v>
      </c>
      <c r="S2062" s="11"/>
      <c r="T2062" s="6"/>
      <c r="U2062" s="24" t="str">
        <f>HYPERLINK("https://media.infra-m.ru/2002/2002602/cover/2002602.jpg", "Обложка")</f>
        <v>Обложка</v>
      </c>
      <c r="V2062" s="24" t="str">
        <f>HYPERLINK("https://znanium.ru/catalog/product/987752", "Ознакомиться")</f>
        <v>Ознакомиться</v>
      </c>
      <c r="W2062" s="8" t="s">
        <v>535</v>
      </c>
      <c r="X2062" s="6"/>
      <c r="Y2062" s="6"/>
      <c r="Z2062" s="6"/>
      <c r="AA2062" s="6" t="s">
        <v>536</v>
      </c>
      <c r="AB2062" s="8"/>
    </row>
    <row r="2063" spans="1:28" s="4" customFormat="1" ht="51.95" customHeight="1">
      <c r="A2063" s="5">
        <v>0</v>
      </c>
      <c r="B2063" s="6" t="s">
        <v>11829</v>
      </c>
      <c r="C2063" s="7">
        <v>4466.3999999999996</v>
      </c>
      <c r="D2063" s="8" t="s">
        <v>11830</v>
      </c>
      <c r="E2063" s="8" t="s">
        <v>11831</v>
      </c>
      <c r="F2063" s="8" t="s">
        <v>11832</v>
      </c>
      <c r="G2063" s="6" t="s">
        <v>132</v>
      </c>
      <c r="H2063" s="6" t="s">
        <v>182</v>
      </c>
      <c r="I2063" s="8" t="s">
        <v>11833</v>
      </c>
      <c r="J2063" s="9">
        <v>1</v>
      </c>
      <c r="K2063" s="9">
        <v>716</v>
      </c>
      <c r="L2063" s="9">
        <v>2025</v>
      </c>
      <c r="M2063" s="8" t="s">
        <v>11834</v>
      </c>
      <c r="N2063" s="8" t="s">
        <v>42</v>
      </c>
      <c r="O2063" s="8" t="s">
        <v>65</v>
      </c>
      <c r="P2063" s="6" t="s">
        <v>2307</v>
      </c>
      <c r="Q2063" s="8" t="s">
        <v>45</v>
      </c>
      <c r="R2063" s="10" t="s">
        <v>11835</v>
      </c>
      <c r="S2063" s="11"/>
      <c r="T2063" s="6"/>
      <c r="U2063" s="24" t="str">
        <f>HYPERLINK("https://media.infra-m.ru/2208/2208456/cover/2208456.jpg", "Обложка")</f>
        <v>Обложка</v>
      </c>
      <c r="V2063" s="24" t="str">
        <f>HYPERLINK("https://znanium.ru/catalog/product/2208456", "Ознакомиться")</f>
        <v>Ознакомиться</v>
      </c>
      <c r="W2063" s="8"/>
      <c r="X2063" s="6"/>
      <c r="Y2063" s="6"/>
      <c r="Z2063" s="6"/>
      <c r="AA2063" s="6" t="s">
        <v>76</v>
      </c>
      <c r="AB2063" s="8"/>
    </row>
    <row r="2064" spans="1:28" s="4" customFormat="1" ht="51.95" customHeight="1">
      <c r="A2064" s="5">
        <v>0</v>
      </c>
      <c r="B2064" s="6" t="s">
        <v>11836</v>
      </c>
      <c r="C2064" s="7">
        <v>1704</v>
      </c>
      <c r="D2064" s="8" t="s">
        <v>11837</v>
      </c>
      <c r="E2064" s="8" t="s">
        <v>11838</v>
      </c>
      <c r="F2064" s="8" t="s">
        <v>11839</v>
      </c>
      <c r="G2064" s="6" t="s">
        <v>38</v>
      </c>
      <c r="H2064" s="6" t="s">
        <v>39</v>
      </c>
      <c r="I2064" s="8" t="s">
        <v>40</v>
      </c>
      <c r="J2064" s="9">
        <v>1</v>
      </c>
      <c r="K2064" s="9">
        <v>307</v>
      </c>
      <c r="L2064" s="9">
        <v>2024</v>
      </c>
      <c r="M2064" s="8" t="s">
        <v>11840</v>
      </c>
      <c r="N2064" s="8" t="s">
        <v>42</v>
      </c>
      <c r="O2064" s="8" t="s">
        <v>189</v>
      </c>
      <c r="P2064" s="6" t="s">
        <v>44</v>
      </c>
      <c r="Q2064" s="8" t="s">
        <v>45</v>
      </c>
      <c r="R2064" s="10" t="s">
        <v>11841</v>
      </c>
      <c r="S2064" s="11"/>
      <c r="T2064" s="6"/>
      <c r="U2064" s="24" t="str">
        <f>HYPERLINK("https://media.infra-m.ru/2120/2120771/cover/2120771.jpg", "Обложка")</f>
        <v>Обложка</v>
      </c>
      <c r="V2064" s="24" t="str">
        <f>HYPERLINK("https://znanium.ru/catalog/product/2120771", "Ознакомиться")</f>
        <v>Ознакомиться</v>
      </c>
      <c r="W2064" s="8" t="s">
        <v>5996</v>
      </c>
      <c r="X2064" s="6"/>
      <c r="Y2064" s="6"/>
      <c r="Z2064" s="6"/>
      <c r="AA2064" s="6" t="s">
        <v>277</v>
      </c>
      <c r="AB2064" s="8"/>
    </row>
    <row r="2065" spans="1:28" s="4" customFormat="1" ht="51.95" customHeight="1">
      <c r="A2065" s="5">
        <v>0</v>
      </c>
      <c r="B2065" s="6" t="s">
        <v>11842</v>
      </c>
      <c r="C2065" s="13">
        <v>485.9</v>
      </c>
      <c r="D2065" s="8" t="s">
        <v>11843</v>
      </c>
      <c r="E2065" s="8" t="s">
        <v>11844</v>
      </c>
      <c r="F2065" s="8" t="s">
        <v>3426</v>
      </c>
      <c r="G2065" s="6" t="s">
        <v>38</v>
      </c>
      <c r="H2065" s="6" t="s">
        <v>39</v>
      </c>
      <c r="I2065" s="8" t="s">
        <v>40</v>
      </c>
      <c r="J2065" s="9">
        <v>1</v>
      </c>
      <c r="K2065" s="9">
        <v>120</v>
      </c>
      <c r="L2065" s="9">
        <v>2019</v>
      </c>
      <c r="M2065" s="8" t="s">
        <v>11845</v>
      </c>
      <c r="N2065" s="8" t="s">
        <v>42</v>
      </c>
      <c r="O2065" s="8" t="s">
        <v>65</v>
      </c>
      <c r="P2065" s="6" t="s">
        <v>44</v>
      </c>
      <c r="Q2065" s="8" t="s">
        <v>45</v>
      </c>
      <c r="R2065" s="10" t="s">
        <v>11846</v>
      </c>
      <c r="S2065" s="11"/>
      <c r="T2065" s="6"/>
      <c r="U2065" s="24" t="str">
        <f>HYPERLINK("https://media.infra-m.ru/1013/1013452/cover/1013452.jpg", "Обложка")</f>
        <v>Обложка</v>
      </c>
      <c r="V2065" s="24" t="str">
        <f>HYPERLINK("https://znanium.ru/catalog/product/1013452", "Ознакомиться")</f>
        <v>Ознакомиться</v>
      </c>
      <c r="W2065" s="8" t="s">
        <v>699</v>
      </c>
      <c r="X2065" s="6"/>
      <c r="Y2065" s="6"/>
      <c r="Z2065" s="6"/>
      <c r="AA2065" s="6" t="s">
        <v>290</v>
      </c>
      <c r="AB2065" s="8"/>
    </row>
    <row r="2066" spans="1:28" s="4" customFormat="1" ht="42" customHeight="1">
      <c r="A2066" s="5">
        <v>0</v>
      </c>
      <c r="B2066" s="6" t="s">
        <v>11847</v>
      </c>
      <c r="C2066" s="7">
        <v>2388</v>
      </c>
      <c r="D2066" s="8" t="s">
        <v>11848</v>
      </c>
      <c r="E2066" s="8" t="s">
        <v>11849</v>
      </c>
      <c r="F2066" s="8" t="s">
        <v>11850</v>
      </c>
      <c r="G2066" s="6" t="s">
        <v>132</v>
      </c>
      <c r="H2066" s="6" t="s">
        <v>39</v>
      </c>
      <c r="I2066" s="8" t="s">
        <v>40</v>
      </c>
      <c r="J2066" s="9">
        <v>1</v>
      </c>
      <c r="K2066" s="9">
        <v>640</v>
      </c>
      <c r="L2066" s="9">
        <v>2021</v>
      </c>
      <c r="M2066" s="8" t="s">
        <v>11851</v>
      </c>
      <c r="N2066" s="8" t="s">
        <v>54</v>
      </c>
      <c r="O2066" s="8" t="s">
        <v>91</v>
      </c>
      <c r="P2066" s="6" t="s">
        <v>44</v>
      </c>
      <c r="Q2066" s="8" t="s">
        <v>45</v>
      </c>
      <c r="R2066" s="10" t="s">
        <v>197</v>
      </c>
      <c r="S2066" s="11"/>
      <c r="T2066" s="6"/>
      <c r="U2066" s="24" t="str">
        <f>HYPERLINK("https://media.infra-m.ru/1078/1078147/cover/1078147.jpg", "Обложка")</f>
        <v>Обложка</v>
      </c>
      <c r="V2066" s="24" t="str">
        <f>HYPERLINK("https://znanium.ru/catalog/product/1078147", "Ознакомиться")</f>
        <v>Ознакомиться</v>
      </c>
      <c r="W2066" s="8" t="s">
        <v>9917</v>
      </c>
      <c r="X2066" s="6"/>
      <c r="Y2066" s="6"/>
      <c r="Z2066" s="6"/>
      <c r="AA2066" s="6" t="s">
        <v>199</v>
      </c>
      <c r="AB2066" s="8"/>
    </row>
    <row r="2067" spans="1:28" s="4" customFormat="1" ht="51.95" customHeight="1">
      <c r="A2067" s="5">
        <v>0</v>
      </c>
      <c r="B2067" s="6" t="s">
        <v>11852</v>
      </c>
      <c r="C2067" s="7">
        <v>2428.8000000000002</v>
      </c>
      <c r="D2067" s="8" t="s">
        <v>11853</v>
      </c>
      <c r="E2067" s="8" t="s">
        <v>11854</v>
      </c>
      <c r="F2067" s="8" t="s">
        <v>11855</v>
      </c>
      <c r="G2067" s="6" t="s">
        <v>81</v>
      </c>
      <c r="H2067" s="6" t="s">
        <v>39</v>
      </c>
      <c r="I2067" s="8" t="s">
        <v>40</v>
      </c>
      <c r="J2067" s="9">
        <v>1</v>
      </c>
      <c r="K2067" s="9">
        <v>389</v>
      </c>
      <c r="L2067" s="9">
        <v>2025</v>
      </c>
      <c r="M2067" s="8" t="s">
        <v>11856</v>
      </c>
      <c r="N2067" s="8" t="s">
        <v>54</v>
      </c>
      <c r="O2067" s="8" t="s">
        <v>117</v>
      </c>
      <c r="P2067" s="6" t="s">
        <v>44</v>
      </c>
      <c r="Q2067" s="8" t="s">
        <v>45</v>
      </c>
      <c r="R2067" s="10" t="s">
        <v>11857</v>
      </c>
      <c r="S2067" s="11"/>
      <c r="T2067" s="6"/>
      <c r="U2067" s="24" t="str">
        <f>HYPERLINK("https://media.infra-m.ru/2210/2210245/cover/2210245.jpg", "Обложка")</f>
        <v>Обложка</v>
      </c>
      <c r="V2067" s="24" t="str">
        <f>HYPERLINK("https://znanium.ru/catalog/product/2138937", "Ознакомиться")</f>
        <v>Ознакомиться</v>
      </c>
      <c r="W2067" s="8" t="s">
        <v>223</v>
      </c>
      <c r="X2067" s="6"/>
      <c r="Y2067" s="6" t="s">
        <v>30</v>
      </c>
      <c r="Z2067" s="6"/>
      <c r="AA2067" s="6" t="s">
        <v>892</v>
      </c>
      <c r="AB2067" s="8"/>
    </row>
    <row r="2068" spans="1:28" s="4" customFormat="1" ht="51.95" customHeight="1">
      <c r="A2068" s="5">
        <v>0</v>
      </c>
      <c r="B2068" s="6" t="s">
        <v>11858</v>
      </c>
      <c r="C2068" s="13">
        <v>924</v>
      </c>
      <c r="D2068" s="8" t="s">
        <v>11859</v>
      </c>
      <c r="E2068" s="8" t="s">
        <v>11860</v>
      </c>
      <c r="F2068" s="8" t="s">
        <v>11861</v>
      </c>
      <c r="G2068" s="6" t="s">
        <v>132</v>
      </c>
      <c r="H2068" s="6" t="s">
        <v>39</v>
      </c>
      <c r="I2068" s="8" t="s">
        <v>40</v>
      </c>
      <c r="J2068" s="9">
        <v>1</v>
      </c>
      <c r="K2068" s="9">
        <v>256</v>
      </c>
      <c r="L2068" s="9">
        <v>2018</v>
      </c>
      <c r="M2068" s="8" t="s">
        <v>11862</v>
      </c>
      <c r="N2068" s="8" t="s">
        <v>54</v>
      </c>
      <c r="O2068" s="8" t="s">
        <v>117</v>
      </c>
      <c r="P2068" s="6" t="s">
        <v>44</v>
      </c>
      <c r="Q2068" s="8" t="s">
        <v>45</v>
      </c>
      <c r="R2068" s="10" t="s">
        <v>11857</v>
      </c>
      <c r="S2068" s="11"/>
      <c r="T2068" s="6"/>
      <c r="U2068" s="24" t="str">
        <f>HYPERLINK("https://media.infra-m.ru/0961/0961435/cover/961435.jpg", "Обложка")</f>
        <v>Обложка</v>
      </c>
      <c r="V2068" s="24" t="str">
        <f>HYPERLINK("https://znanium.ru/catalog/product/2138937", "Ознакомиться")</f>
        <v>Ознакомиться</v>
      </c>
      <c r="W2068" s="8" t="s">
        <v>223</v>
      </c>
      <c r="X2068" s="6"/>
      <c r="Y2068" s="6" t="s">
        <v>30</v>
      </c>
      <c r="Z2068" s="6"/>
      <c r="AA2068" s="6" t="s">
        <v>369</v>
      </c>
      <c r="AB2068" s="8"/>
    </row>
    <row r="2069" spans="1:28" s="4" customFormat="1" ht="51.95" customHeight="1">
      <c r="A2069" s="5">
        <v>0</v>
      </c>
      <c r="B2069" s="6" t="s">
        <v>11863</v>
      </c>
      <c r="C2069" s="7">
        <v>1392</v>
      </c>
      <c r="D2069" s="8" t="s">
        <v>11864</v>
      </c>
      <c r="E2069" s="8" t="s">
        <v>11865</v>
      </c>
      <c r="F2069" s="8" t="s">
        <v>11866</v>
      </c>
      <c r="G2069" s="6" t="s">
        <v>38</v>
      </c>
      <c r="H2069" s="6" t="s">
        <v>326</v>
      </c>
      <c r="I2069" s="8" t="s">
        <v>828</v>
      </c>
      <c r="J2069" s="9">
        <v>1</v>
      </c>
      <c r="K2069" s="9">
        <v>232</v>
      </c>
      <c r="L2069" s="9">
        <v>2024</v>
      </c>
      <c r="M2069" s="8" t="s">
        <v>11867</v>
      </c>
      <c r="N2069" s="8" t="s">
        <v>42</v>
      </c>
      <c r="O2069" s="8" t="s">
        <v>65</v>
      </c>
      <c r="P2069" s="6" t="s">
        <v>659</v>
      </c>
      <c r="Q2069" s="8" t="s">
        <v>45</v>
      </c>
      <c r="R2069" s="10" t="s">
        <v>11868</v>
      </c>
      <c r="S2069" s="11" t="s">
        <v>11869</v>
      </c>
      <c r="T2069" s="6"/>
      <c r="U2069" s="24" t="str">
        <f>HYPERLINK("https://media.infra-m.ru/2170/2170872/cover/2170872.jpg", "Обложка")</f>
        <v>Обложка</v>
      </c>
      <c r="V2069" s="24" t="str">
        <f>HYPERLINK("https://znanium.ru/catalog/product/2170872", "Ознакомиться")</f>
        <v>Ознакомиться</v>
      </c>
      <c r="W2069" s="8" t="s">
        <v>11870</v>
      </c>
      <c r="X2069" s="6"/>
      <c r="Y2069" s="6"/>
      <c r="Z2069" s="6"/>
      <c r="AA2069" s="6" t="s">
        <v>377</v>
      </c>
      <c r="AB2069" s="8"/>
    </row>
    <row r="2070" spans="1:28" s="4" customFormat="1" ht="51.95" customHeight="1">
      <c r="A2070" s="5">
        <v>0</v>
      </c>
      <c r="B2070" s="6" t="s">
        <v>11871</v>
      </c>
      <c r="C2070" s="13">
        <v>684</v>
      </c>
      <c r="D2070" s="8" t="s">
        <v>11872</v>
      </c>
      <c r="E2070" s="8" t="s">
        <v>11873</v>
      </c>
      <c r="F2070" s="8" t="s">
        <v>11874</v>
      </c>
      <c r="G2070" s="6" t="s">
        <v>38</v>
      </c>
      <c r="H2070" s="6" t="s">
        <v>39</v>
      </c>
      <c r="I2070" s="8" t="s">
        <v>40</v>
      </c>
      <c r="J2070" s="9">
        <v>1</v>
      </c>
      <c r="K2070" s="9">
        <v>126</v>
      </c>
      <c r="L2070" s="9">
        <v>2023</v>
      </c>
      <c r="M2070" s="8" t="s">
        <v>11875</v>
      </c>
      <c r="N2070" s="8" t="s">
        <v>42</v>
      </c>
      <c r="O2070" s="8" t="s">
        <v>65</v>
      </c>
      <c r="P2070" s="6" t="s">
        <v>44</v>
      </c>
      <c r="Q2070" s="8" t="s">
        <v>45</v>
      </c>
      <c r="R2070" s="10" t="s">
        <v>11876</v>
      </c>
      <c r="S2070" s="11"/>
      <c r="T2070" s="6"/>
      <c r="U2070" s="24" t="str">
        <f>HYPERLINK("https://media.infra-m.ru/1937/1937187/cover/1937187.jpg", "Обложка")</f>
        <v>Обложка</v>
      </c>
      <c r="V2070" s="24" t="str">
        <f>HYPERLINK("https://znanium.ru/catalog/product/1937187", "Ознакомиться")</f>
        <v>Ознакомиться</v>
      </c>
      <c r="W2070" s="8" t="s">
        <v>11877</v>
      </c>
      <c r="X2070" s="6"/>
      <c r="Y2070" s="6"/>
      <c r="Z2070" s="6"/>
      <c r="AA2070" s="6" t="s">
        <v>369</v>
      </c>
      <c r="AB2070" s="8"/>
    </row>
    <row r="2071" spans="1:28" s="4" customFormat="1" ht="42" customHeight="1">
      <c r="A2071" s="5">
        <v>0</v>
      </c>
      <c r="B2071" s="6" t="s">
        <v>11878</v>
      </c>
      <c r="C2071" s="13">
        <v>912</v>
      </c>
      <c r="D2071" s="8" t="s">
        <v>11879</v>
      </c>
      <c r="E2071" s="8" t="s">
        <v>11880</v>
      </c>
      <c r="F2071" s="8" t="s">
        <v>11881</v>
      </c>
      <c r="G2071" s="6" t="s">
        <v>81</v>
      </c>
      <c r="H2071" s="6" t="s">
        <v>39</v>
      </c>
      <c r="I2071" s="8" t="s">
        <v>40</v>
      </c>
      <c r="J2071" s="9">
        <v>1</v>
      </c>
      <c r="K2071" s="9">
        <v>183</v>
      </c>
      <c r="L2071" s="9">
        <v>2022</v>
      </c>
      <c r="M2071" s="8" t="s">
        <v>11882</v>
      </c>
      <c r="N2071" s="8" t="s">
        <v>42</v>
      </c>
      <c r="O2071" s="8" t="s">
        <v>101</v>
      </c>
      <c r="P2071" s="6" t="s">
        <v>44</v>
      </c>
      <c r="Q2071" s="8" t="s">
        <v>45</v>
      </c>
      <c r="R2071" s="10" t="s">
        <v>6682</v>
      </c>
      <c r="S2071" s="11"/>
      <c r="T2071" s="6"/>
      <c r="U2071" s="24" t="str">
        <f>HYPERLINK("https://media.infra-m.ru/1836/1836398/cover/1836398.jpg", "Обложка")</f>
        <v>Обложка</v>
      </c>
      <c r="V2071" s="24" t="str">
        <f>HYPERLINK("https://znanium.ru/catalog/product/1836398", "Ознакомиться")</f>
        <v>Ознакомиться</v>
      </c>
      <c r="W2071" s="8" t="s">
        <v>2080</v>
      </c>
      <c r="X2071" s="6"/>
      <c r="Y2071" s="6"/>
      <c r="Z2071" s="6"/>
      <c r="AA2071" s="6" t="s">
        <v>199</v>
      </c>
      <c r="AB2071" s="8"/>
    </row>
    <row r="2072" spans="1:28" s="4" customFormat="1" ht="44.1" customHeight="1">
      <c r="A2072" s="5">
        <v>0</v>
      </c>
      <c r="B2072" s="6" t="s">
        <v>11883</v>
      </c>
      <c r="C2072" s="7">
        <v>2304</v>
      </c>
      <c r="D2072" s="8" t="s">
        <v>11884</v>
      </c>
      <c r="E2072" s="8" t="s">
        <v>11885</v>
      </c>
      <c r="F2072" s="8" t="s">
        <v>11886</v>
      </c>
      <c r="G2072" s="6" t="s">
        <v>132</v>
      </c>
      <c r="H2072" s="6" t="s">
        <v>39</v>
      </c>
      <c r="I2072" s="8" t="s">
        <v>2342</v>
      </c>
      <c r="J2072" s="9">
        <v>1</v>
      </c>
      <c r="K2072" s="9">
        <v>381</v>
      </c>
      <c r="L2072" s="9">
        <v>2025</v>
      </c>
      <c r="M2072" s="8" t="s">
        <v>11887</v>
      </c>
      <c r="N2072" s="8" t="s">
        <v>42</v>
      </c>
      <c r="O2072" s="8" t="s">
        <v>189</v>
      </c>
      <c r="P2072" s="6" t="s">
        <v>44</v>
      </c>
      <c r="Q2072" s="8" t="s">
        <v>45</v>
      </c>
      <c r="R2072" s="10" t="s">
        <v>11888</v>
      </c>
      <c r="S2072" s="11"/>
      <c r="T2072" s="6"/>
      <c r="U2072" s="24" t="str">
        <f>HYPERLINK("https://media.infra-m.ru/2157/2157183/cover/2157183.jpg", "Обложка")</f>
        <v>Обложка</v>
      </c>
      <c r="V2072" s="24" t="str">
        <f>HYPERLINK("https://znanium.ru/catalog/product/2157183", "Ознакомиться")</f>
        <v>Ознакомиться</v>
      </c>
      <c r="W2072" s="8" t="s">
        <v>232</v>
      </c>
      <c r="X2072" s="6"/>
      <c r="Y2072" s="6"/>
      <c r="Z2072" s="6"/>
      <c r="AA2072" s="6" t="s">
        <v>58</v>
      </c>
      <c r="AB2072" s="8"/>
    </row>
    <row r="2073" spans="1:28" s="4" customFormat="1" ht="51.95" customHeight="1">
      <c r="A2073" s="5">
        <v>0</v>
      </c>
      <c r="B2073" s="6" t="s">
        <v>11889</v>
      </c>
      <c r="C2073" s="7">
        <v>1212</v>
      </c>
      <c r="D2073" s="8" t="s">
        <v>11890</v>
      </c>
      <c r="E2073" s="8" t="s">
        <v>11891</v>
      </c>
      <c r="F2073" s="8" t="s">
        <v>11892</v>
      </c>
      <c r="G2073" s="6" t="s">
        <v>81</v>
      </c>
      <c r="H2073" s="6" t="s">
        <v>99</v>
      </c>
      <c r="I2073" s="8"/>
      <c r="J2073" s="9">
        <v>1</v>
      </c>
      <c r="K2073" s="9">
        <v>240</v>
      </c>
      <c r="L2073" s="9">
        <v>2022</v>
      </c>
      <c r="M2073" s="8" t="s">
        <v>11893</v>
      </c>
      <c r="N2073" s="8" t="s">
        <v>42</v>
      </c>
      <c r="O2073" s="8" t="s">
        <v>65</v>
      </c>
      <c r="P2073" s="6" t="s">
        <v>580</v>
      </c>
      <c r="Q2073" s="8" t="s">
        <v>45</v>
      </c>
      <c r="R2073" s="10" t="s">
        <v>11894</v>
      </c>
      <c r="S2073" s="11"/>
      <c r="T2073" s="6"/>
      <c r="U2073" s="24" t="str">
        <f>HYPERLINK("https://media.infra-m.ru/1877/1877364/cover/1877364.jpg", "Обложка")</f>
        <v>Обложка</v>
      </c>
      <c r="V2073" s="24" t="str">
        <f>HYPERLINK("https://znanium.ru/catalog/product/1877364", "Ознакомиться")</f>
        <v>Ознакомиться</v>
      </c>
      <c r="W2073" s="8" t="s">
        <v>418</v>
      </c>
      <c r="X2073" s="6"/>
      <c r="Y2073" s="6"/>
      <c r="Z2073" s="6"/>
      <c r="AA2073" s="6" t="s">
        <v>76</v>
      </c>
      <c r="AB2073" s="8"/>
    </row>
    <row r="2074" spans="1:28" s="4" customFormat="1" ht="44.1" customHeight="1">
      <c r="A2074" s="5">
        <v>0</v>
      </c>
      <c r="B2074" s="6" t="s">
        <v>11895</v>
      </c>
      <c r="C2074" s="13">
        <v>744</v>
      </c>
      <c r="D2074" s="8" t="s">
        <v>11896</v>
      </c>
      <c r="E2074" s="8" t="s">
        <v>11897</v>
      </c>
      <c r="F2074" s="8" t="s">
        <v>11898</v>
      </c>
      <c r="G2074" s="6" t="s">
        <v>38</v>
      </c>
      <c r="H2074" s="6" t="s">
        <v>39</v>
      </c>
      <c r="I2074" s="8" t="s">
        <v>40</v>
      </c>
      <c r="J2074" s="9">
        <v>1</v>
      </c>
      <c r="K2074" s="9">
        <v>110</v>
      </c>
      <c r="L2074" s="9">
        <v>2024</v>
      </c>
      <c r="M2074" s="8" t="s">
        <v>11899</v>
      </c>
      <c r="N2074" s="8" t="s">
        <v>42</v>
      </c>
      <c r="O2074" s="8" t="s">
        <v>189</v>
      </c>
      <c r="P2074" s="6" t="s">
        <v>44</v>
      </c>
      <c r="Q2074" s="8" t="s">
        <v>45</v>
      </c>
      <c r="R2074" s="10" t="s">
        <v>190</v>
      </c>
      <c r="S2074" s="11"/>
      <c r="T2074" s="6"/>
      <c r="U2074" s="24" t="str">
        <f>HYPERLINK("https://media.infra-m.ru/2079/2079698/cover/2079698.jpg", "Обложка")</f>
        <v>Обложка</v>
      </c>
      <c r="V2074" s="24" t="str">
        <f>HYPERLINK("https://znanium.ru/catalog/product/2079698", "Ознакомиться")</f>
        <v>Ознакомиться</v>
      </c>
      <c r="W2074" s="8" t="s">
        <v>1336</v>
      </c>
      <c r="X2074" s="6"/>
      <c r="Y2074" s="6"/>
      <c r="Z2074" s="6"/>
      <c r="AA2074" s="6" t="s">
        <v>119</v>
      </c>
      <c r="AB2074" s="8"/>
    </row>
    <row r="2075" spans="1:28" s="4" customFormat="1" ht="51.95" customHeight="1">
      <c r="A2075" s="5">
        <v>0</v>
      </c>
      <c r="B2075" s="6" t="s">
        <v>11900</v>
      </c>
      <c r="C2075" s="13">
        <v>912</v>
      </c>
      <c r="D2075" s="8" t="s">
        <v>11901</v>
      </c>
      <c r="E2075" s="8" t="s">
        <v>11902</v>
      </c>
      <c r="F2075" s="8" t="s">
        <v>1727</v>
      </c>
      <c r="G2075" s="6" t="s">
        <v>81</v>
      </c>
      <c r="H2075" s="6" t="s">
        <v>39</v>
      </c>
      <c r="I2075" s="8" t="s">
        <v>40</v>
      </c>
      <c r="J2075" s="9">
        <v>1</v>
      </c>
      <c r="K2075" s="9">
        <v>148</v>
      </c>
      <c r="L2075" s="9">
        <v>2024</v>
      </c>
      <c r="M2075" s="8" t="s">
        <v>11903</v>
      </c>
      <c r="N2075" s="8" t="s">
        <v>42</v>
      </c>
      <c r="O2075" s="8" t="s">
        <v>189</v>
      </c>
      <c r="P2075" s="6" t="s">
        <v>44</v>
      </c>
      <c r="Q2075" s="8" t="s">
        <v>45</v>
      </c>
      <c r="R2075" s="10" t="s">
        <v>11904</v>
      </c>
      <c r="S2075" s="11"/>
      <c r="T2075" s="6"/>
      <c r="U2075" s="24" t="str">
        <f>HYPERLINK("https://media.infra-m.ru/2122/2122503/cover/2122503.jpg", "Обложка")</f>
        <v>Обложка</v>
      </c>
      <c r="V2075" s="24" t="str">
        <f>HYPERLINK("https://znanium.ru/catalog/product/2021343", "Ознакомиться")</f>
        <v>Ознакомиться</v>
      </c>
      <c r="W2075" s="8" t="s">
        <v>1336</v>
      </c>
      <c r="X2075" s="6"/>
      <c r="Y2075" s="6"/>
      <c r="Z2075" s="6"/>
      <c r="AA2075" s="6" t="s">
        <v>58</v>
      </c>
      <c r="AB2075" s="8"/>
    </row>
    <row r="2076" spans="1:28" s="4" customFormat="1" ht="51.95" customHeight="1">
      <c r="A2076" s="5">
        <v>0</v>
      </c>
      <c r="B2076" s="6" t="s">
        <v>11905</v>
      </c>
      <c r="C2076" s="13">
        <v>828</v>
      </c>
      <c r="D2076" s="8" t="s">
        <v>11906</v>
      </c>
      <c r="E2076" s="8" t="s">
        <v>11907</v>
      </c>
      <c r="F2076" s="8" t="s">
        <v>11908</v>
      </c>
      <c r="G2076" s="6" t="s">
        <v>38</v>
      </c>
      <c r="H2076" s="6" t="s">
        <v>39</v>
      </c>
      <c r="I2076" s="8" t="s">
        <v>40</v>
      </c>
      <c r="J2076" s="9">
        <v>1</v>
      </c>
      <c r="K2076" s="9">
        <v>153</v>
      </c>
      <c r="L2076" s="9">
        <v>2022</v>
      </c>
      <c r="M2076" s="8" t="s">
        <v>11909</v>
      </c>
      <c r="N2076" s="8" t="s">
        <v>220</v>
      </c>
      <c r="O2076" s="8" t="s">
        <v>221</v>
      </c>
      <c r="P2076" s="6" t="s">
        <v>44</v>
      </c>
      <c r="Q2076" s="8" t="s">
        <v>45</v>
      </c>
      <c r="R2076" s="10" t="s">
        <v>11910</v>
      </c>
      <c r="S2076" s="11"/>
      <c r="T2076" s="6"/>
      <c r="U2076" s="24" t="str">
        <f>HYPERLINK("https://media.infra-m.ru/1859/1859843/cover/1859843.jpg", "Обложка")</f>
        <v>Обложка</v>
      </c>
      <c r="V2076" s="24" t="str">
        <f>HYPERLINK("https://znanium.ru/catalog/product/1859843", "Ознакомиться")</f>
        <v>Ознакомиться</v>
      </c>
      <c r="W2076" s="8" t="s">
        <v>2391</v>
      </c>
      <c r="X2076" s="6"/>
      <c r="Y2076" s="6"/>
      <c r="Z2076" s="6"/>
      <c r="AA2076" s="6" t="s">
        <v>127</v>
      </c>
      <c r="AB2076" s="8"/>
    </row>
    <row r="2077" spans="1:28" s="4" customFormat="1" ht="44.1" customHeight="1">
      <c r="A2077" s="5">
        <v>0</v>
      </c>
      <c r="B2077" s="6" t="s">
        <v>11911</v>
      </c>
      <c r="C2077" s="13">
        <v>828</v>
      </c>
      <c r="D2077" s="8" t="s">
        <v>11912</v>
      </c>
      <c r="E2077" s="8" t="s">
        <v>11913</v>
      </c>
      <c r="F2077" s="8" t="s">
        <v>11914</v>
      </c>
      <c r="G2077" s="6" t="s">
        <v>38</v>
      </c>
      <c r="H2077" s="6" t="s">
        <v>39</v>
      </c>
      <c r="I2077" s="8" t="s">
        <v>40</v>
      </c>
      <c r="J2077" s="9">
        <v>1</v>
      </c>
      <c r="K2077" s="9">
        <v>167</v>
      </c>
      <c r="L2077" s="9">
        <v>2022</v>
      </c>
      <c r="M2077" s="8" t="s">
        <v>11915</v>
      </c>
      <c r="N2077" s="8" t="s">
        <v>42</v>
      </c>
      <c r="O2077" s="8" t="s">
        <v>65</v>
      </c>
      <c r="P2077" s="6" t="s">
        <v>44</v>
      </c>
      <c r="Q2077" s="8" t="s">
        <v>45</v>
      </c>
      <c r="R2077" s="10" t="s">
        <v>11916</v>
      </c>
      <c r="S2077" s="11"/>
      <c r="T2077" s="6"/>
      <c r="U2077" s="24" t="str">
        <f>HYPERLINK("https://media.infra-m.ru/1861/1861576/cover/1861576.jpg", "Обложка")</f>
        <v>Обложка</v>
      </c>
      <c r="V2077" s="24" t="str">
        <f>HYPERLINK("https://znanium.ru/catalog/product/1861576", "Ознакомиться")</f>
        <v>Ознакомиться</v>
      </c>
      <c r="W2077" s="8" t="s">
        <v>2080</v>
      </c>
      <c r="X2077" s="6"/>
      <c r="Y2077" s="6"/>
      <c r="Z2077" s="6"/>
      <c r="AA2077" s="6" t="s">
        <v>199</v>
      </c>
      <c r="AB2077" s="8"/>
    </row>
    <row r="2078" spans="1:28" s="4" customFormat="1" ht="51.95" customHeight="1">
      <c r="A2078" s="5">
        <v>0</v>
      </c>
      <c r="B2078" s="6" t="s">
        <v>11917</v>
      </c>
      <c r="C2078" s="7">
        <v>1324.8</v>
      </c>
      <c r="D2078" s="8" t="s">
        <v>11918</v>
      </c>
      <c r="E2078" s="8" t="s">
        <v>11919</v>
      </c>
      <c r="F2078" s="8" t="s">
        <v>11920</v>
      </c>
      <c r="G2078" s="6" t="s">
        <v>38</v>
      </c>
      <c r="H2078" s="6" t="s">
        <v>39</v>
      </c>
      <c r="I2078" s="8" t="s">
        <v>40</v>
      </c>
      <c r="J2078" s="9">
        <v>1</v>
      </c>
      <c r="K2078" s="9">
        <v>241</v>
      </c>
      <c r="L2078" s="9">
        <v>2024</v>
      </c>
      <c r="M2078" s="8" t="s">
        <v>11921</v>
      </c>
      <c r="N2078" s="8" t="s">
        <v>42</v>
      </c>
      <c r="O2078" s="8" t="s">
        <v>65</v>
      </c>
      <c r="P2078" s="6" t="s">
        <v>44</v>
      </c>
      <c r="Q2078" s="8" t="s">
        <v>3762</v>
      </c>
      <c r="R2078" s="10" t="s">
        <v>11922</v>
      </c>
      <c r="S2078" s="11"/>
      <c r="T2078" s="6"/>
      <c r="U2078" s="24" t="str">
        <f>HYPERLINK("https://media.infra-m.ru/2079/2079699/cover/2079699.jpg", "Обложка")</f>
        <v>Обложка</v>
      </c>
      <c r="V2078" s="24" t="str">
        <f>HYPERLINK("https://znanium.ru/catalog/product/2079699", "Ознакомиться")</f>
        <v>Ознакомиться</v>
      </c>
      <c r="W2078" s="8" t="s">
        <v>3715</v>
      </c>
      <c r="X2078" s="6"/>
      <c r="Y2078" s="6"/>
      <c r="Z2078" s="6"/>
      <c r="AA2078" s="6" t="s">
        <v>76</v>
      </c>
      <c r="AB2078" s="8"/>
    </row>
    <row r="2079" spans="1:28" s="4" customFormat="1" ht="51.95" customHeight="1">
      <c r="A2079" s="5">
        <v>0</v>
      </c>
      <c r="B2079" s="6" t="s">
        <v>11923</v>
      </c>
      <c r="C2079" s="13">
        <v>960</v>
      </c>
      <c r="D2079" s="8" t="s">
        <v>11924</v>
      </c>
      <c r="E2079" s="8" t="s">
        <v>11925</v>
      </c>
      <c r="F2079" s="8" t="s">
        <v>11926</v>
      </c>
      <c r="G2079" s="6" t="s">
        <v>38</v>
      </c>
      <c r="H2079" s="6" t="s">
        <v>39</v>
      </c>
      <c r="I2079" s="8" t="s">
        <v>40</v>
      </c>
      <c r="J2079" s="9">
        <v>1</v>
      </c>
      <c r="K2079" s="9">
        <v>171</v>
      </c>
      <c r="L2079" s="9">
        <v>2022</v>
      </c>
      <c r="M2079" s="8" t="s">
        <v>11927</v>
      </c>
      <c r="N2079" s="8" t="s">
        <v>42</v>
      </c>
      <c r="O2079" s="8" t="s">
        <v>65</v>
      </c>
      <c r="P2079" s="6" t="s">
        <v>44</v>
      </c>
      <c r="Q2079" s="8" t="s">
        <v>45</v>
      </c>
      <c r="R2079" s="10" t="s">
        <v>11928</v>
      </c>
      <c r="S2079" s="11"/>
      <c r="T2079" s="6"/>
      <c r="U2079" s="24" t="str">
        <f>HYPERLINK("https://media.infra-m.ru/1872/1872851/cover/1872851.jpg", "Обложка")</f>
        <v>Обложка</v>
      </c>
      <c r="V2079" s="24" t="str">
        <f>HYPERLINK("https://znanium.ru/catalog/product/1872851", "Ознакомиться")</f>
        <v>Ознакомиться</v>
      </c>
      <c r="W2079" s="8" t="s">
        <v>368</v>
      </c>
      <c r="X2079" s="6"/>
      <c r="Y2079" s="6"/>
      <c r="Z2079" s="6"/>
      <c r="AA2079" s="6" t="s">
        <v>111</v>
      </c>
      <c r="AB2079" s="8"/>
    </row>
    <row r="2080" spans="1:28" s="4" customFormat="1" ht="44.1" customHeight="1">
      <c r="A2080" s="5">
        <v>0</v>
      </c>
      <c r="B2080" s="6" t="s">
        <v>11929</v>
      </c>
      <c r="C2080" s="13">
        <v>840</v>
      </c>
      <c r="D2080" s="8" t="s">
        <v>11930</v>
      </c>
      <c r="E2080" s="8" t="s">
        <v>11931</v>
      </c>
      <c r="F2080" s="8" t="s">
        <v>11932</v>
      </c>
      <c r="G2080" s="6" t="s">
        <v>38</v>
      </c>
      <c r="H2080" s="6" t="s">
        <v>39</v>
      </c>
      <c r="I2080" s="8" t="s">
        <v>40</v>
      </c>
      <c r="J2080" s="9">
        <v>1</v>
      </c>
      <c r="K2080" s="9">
        <v>173</v>
      </c>
      <c r="L2080" s="9">
        <v>2022</v>
      </c>
      <c r="M2080" s="8" t="s">
        <v>11933</v>
      </c>
      <c r="N2080" s="8" t="s">
        <v>42</v>
      </c>
      <c r="O2080" s="8" t="s">
        <v>65</v>
      </c>
      <c r="P2080" s="6" t="s">
        <v>44</v>
      </c>
      <c r="Q2080" s="8" t="s">
        <v>45</v>
      </c>
      <c r="R2080" s="10" t="s">
        <v>11934</v>
      </c>
      <c r="S2080" s="11"/>
      <c r="T2080" s="6"/>
      <c r="U2080" s="24" t="str">
        <f>HYPERLINK("https://media.infra-m.ru/1842/1842565/cover/1842565.jpg", "Обложка")</f>
        <v>Обложка</v>
      </c>
      <c r="V2080" s="24" t="str">
        <f>HYPERLINK("https://znanium.ru/catalog/product/1842565", "Ознакомиться")</f>
        <v>Ознакомиться</v>
      </c>
      <c r="W2080" s="8" t="s">
        <v>5109</v>
      </c>
      <c r="X2080" s="6"/>
      <c r="Y2080" s="6"/>
      <c r="Z2080" s="6"/>
      <c r="AA2080" s="6" t="s">
        <v>111</v>
      </c>
      <c r="AB2080" s="8" t="s">
        <v>11935</v>
      </c>
    </row>
    <row r="2081" spans="1:28" s="4" customFormat="1" ht="42" customHeight="1">
      <c r="A2081" s="5">
        <v>0</v>
      </c>
      <c r="B2081" s="6" t="s">
        <v>11936</v>
      </c>
      <c r="C2081" s="7">
        <v>1488</v>
      </c>
      <c r="D2081" s="8" t="s">
        <v>11937</v>
      </c>
      <c r="E2081" s="8" t="s">
        <v>11938</v>
      </c>
      <c r="F2081" s="8" t="s">
        <v>11939</v>
      </c>
      <c r="G2081" s="6" t="s">
        <v>81</v>
      </c>
      <c r="H2081" s="6" t="s">
        <v>39</v>
      </c>
      <c r="I2081" s="8"/>
      <c r="J2081" s="9">
        <v>1</v>
      </c>
      <c r="K2081" s="9">
        <v>232</v>
      </c>
      <c r="L2081" s="9">
        <v>2026</v>
      </c>
      <c r="M2081" s="8" t="s">
        <v>11940</v>
      </c>
      <c r="N2081" s="8" t="s">
        <v>42</v>
      </c>
      <c r="O2081" s="8" t="s">
        <v>65</v>
      </c>
      <c r="P2081" s="6" t="s">
        <v>44</v>
      </c>
      <c r="Q2081" s="8" t="s">
        <v>45</v>
      </c>
      <c r="R2081" s="10" t="s">
        <v>11941</v>
      </c>
      <c r="S2081" s="11"/>
      <c r="T2081" s="6"/>
      <c r="U2081" s="24" t="str">
        <f>HYPERLINK("https://media.infra-m.ru/2219/2219028/cover/2219028.jpg", "Обложка")</f>
        <v>Обложка</v>
      </c>
      <c r="V2081" s="24" t="str">
        <f>HYPERLINK("https://znanium.ru/catalog/product/2219028", "Ознакомиться")</f>
        <v>Ознакомиться</v>
      </c>
      <c r="W2081" s="8" t="s">
        <v>207</v>
      </c>
      <c r="X2081" s="6"/>
      <c r="Y2081" s="6"/>
      <c r="Z2081" s="6"/>
      <c r="AA2081" s="6" t="s">
        <v>68</v>
      </c>
      <c r="AB2081" s="8"/>
    </row>
    <row r="2082" spans="1:28" s="4" customFormat="1" ht="51.95" customHeight="1">
      <c r="A2082" s="5">
        <v>0</v>
      </c>
      <c r="B2082" s="6" t="s">
        <v>11942</v>
      </c>
      <c r="C2082" s="13">
        <v>948</v>
      </c>
      <c r="D2082" s="8" t="s">
        <v>11943</v>
      </c>
      <c r="E2082" s="8" t="s">
        <v>11944</v>
      </c>
      <c r="F2082" s="8" t="s">
        <v>11945</v>
      </c>
      <c r="G2082" s="6" t="s">
        <v>38</v>
      </c>
      <c r="H2082" s="6" t="s">
        <v>39</v>
      </c>
      <c r="I2082" s="8" t="s">
        <v>40</v>
      </c>
      <c r="J2082" s="9">
        <v>1</v>
      </c>
      <c r="K2082" s="9">
        <v>172</v>
      </c>
      <c r="L2082" s="9">
        <v>2023</v>
      </c>
      <c r="M2082" s="8" t="s">
        <v>11946</v>
      </c>
      <c r="N2082" s="8" t="s">
        <v>42</v>
      </c>
      <c r="O2082" s="8" t="s">
        <v>65</v>
      </c>
      <c r="P2082" s="6" t="s">
        <v>44</v>
      </c>
      <c r="Q2082" s="8" t="s">
        <v>45</v>
      </c>
      <c r="R2082" s="10" t="s">
        <v>11947</v>
      </c>
      <c r="S2082" s="11"/>
      <c r="T2082" s="6"/>
      <c r="U2082" s="24" t="str">
        <f>HYPERLINK("https://media.infra-m.ru/2063/2063406/cover/2063406.jpg", "Обложка")</f>
        <v>Обложка</v>
      </c>
      <c r="V2082" s="24" t="str">
        <f>HYPERLINK("https://znanium.ru/catalog/product/2063406", "Ознакомиться")</f>
        <v>Ознакомиться</v>
      </c>
      <c r="W2082" s="8" t="s">
        <v>3107</v>
      </c>
      <c r="X2082" s="6"/>
      <c r="Y2082" s="6"/>
      <c r="Z2082" s="6"/>
      <c r="AA2082" s="6" t="s">
        <v>199</v>
      </c>
      <c r="AB2082" s="8"/>
    </row>
    <row r="2083" spans="1:28" s="4" customFormat="1" ht="44.1" customHeight="1">
      <c r="A2083" s="5">
        <v>0</v>
      </c>
      <c r="B2083" s="6" t="s">
        <v>11948</v>
      </c>
      <c r="C2083" s="13">
        <v>936</v>
      </c>
      <c r="D2083" s="8" t="s">
        <v>11949</v>
      </c>
      <c r="E2083" s="8" t="s">
        <v>11950</v>
      </c>
      <c r="F2083" s="8" t="s">
        <v>11951</v>
      </c>
      <c r="G2083" s="6" t="s">
        <v>38</v>
      </c>
      <c r="H2083" s="6" t="s">
        <v>39</v>
      </c>
      <c r="I2083" s="8" t="s">
        <v>164</v>
      </c>
      <c r="J2083" s="9">
        <v>1</v>
      </c>
      <c r="K2083" s="9">
        <v>194</v>
      </c>
      <c r="L2083" s="9">
        <v>2022</v>
      </c>
      <c r="M2083" s="8" t="s">
        <v>11952</v>
      </c>
      <c r="N2083" s="8" t="s">
        <v>42</v>
      </c>
      <c r="O2083" s="8" t="s">
        <v>65</v>
      </c>
      <c r="P2083" s="6" t="s">
        <v>44</v>
      </c>
      <c r="Q2083" s="8" t="s">
        <v>45</v>
      </c>
      <c r="R2083" s="10" t="s">
        <v>3518</v>
      </c>
      <c r="S2083" s="11"/>
      <c r="T2083" s="6"/>
      <c r="U2083" s="24" t="str">
        <f>HYPERLINK("https://media.infra-m.ru/1098/1098271/cover/1098271.jpg", "Обложка")</f>
        <v>Обложка</v>
      </c>
      <c r="V2083" s="24" t="str">
        <f>HYPERLINK("https://znanium.ru/catalog/product/1098271", "Ознакомиться")</f>
        <v>Ознакомиться</v>
      </c>
      <c r="W2083" s="8" t="s">
        <v>167</v>
      </c>
      <c r="X2083" s="6"/>
      <c r="Y2083" s="6"/>
      <c r="Z2083" s="6"/>
      <c r="AA2083" s="6" t="s">
        <v>111</v>
      </c>
      <c r="AB2083" s="8"/>
    </row>
    <row r="2084" spans="1:28" s="4" customFormat="1" ht="51.95" customHeight="1">
      <c r="A2084" s="5">
        <v>0</v>
      </c>
      <c r="B2084" s="6" t="s">
        <v>11953</v>
      </c>
      <c r="C2084" s="13">
        <v>617.9</v>
      </c>
      <c r="D2084" s="8" t="s">
        <v>11954</v>
      </c>
      <c r="E2084" s="8" t="s">
        <v>11955</v>
      </c>
      <c r="F2084" s="8" t="s">
        <v>11956</v>
      </c>
      <c r="G2084" s="6" t="s">
        <v>132</v>
      </c>
      <c r="H2084" s="6" t="s">
        <v>39</v>
      </c>
      <c r="I2084" s="8" t="s">
        <v>1879</v>
      </c>
      <c r="J2084" s="9">
        <v>1</v>
      </c>
      <c r="K2084" s="9">
        <v>151</v>
      </c>
      <c r="L2084" s="9">
        <v>2018</v>
      </c>
      <c r="M2084" s="8" t="s">
        <v>11957</v>
      </c>
      <c r="N2084" s="8" t="s">
        <v>220</v>
      </c>
      <c r="O2084" s="8" t="s">
        <v>296</v>
      </c>
      <c r="P2084" s="6" t="s">
        <v>44</v>
      </c>
      <c r="Q2084" s="8" t="s">
        <v>45</v>
      </c>
      <c r="R2084" s="10" t="s">
        <v>11958</v>
      </c>
      <c r="S2084" s="11"/>
      <c r="T2084" s="6" t="s">
        <v>1080</v>
      </c>
      <c r="U2084" s="24" t="str">
        <f>HYPERLINK("https://media.infra-m.ru/2081/2081992/cover/2081992.jpg", "Обложка")</f>
        <v>Обложка</v>
      </c>
      <c r="V2084" s="24" t="str">
        <f>HYPERLINK("https://znanium.ru/catalog/product/2032493", "Ознакомиться")</f>
        <v>Ознакомиться</v>
      </c>
      <c r="W2084" s="8" t="s">
        <v>6507</v>
      </c>
      <c r="X2084" s="6"/>
      <c r="Y2084" s="6"/>
      <c r="Z2084" s="6"/>
      <c r="AA2084" s="6" t="s">
        <v>68</v>
      </c>
      <c r="AB2084" s="8"/>
    </row>
    <row r="2085" spans="1:28" s="4" customFormat="1" ht="42" customHeight="1">
      <c r="A2085" s="5">
        <v>0</v>
      </c>
      <c r="B2085" s="6" t="s">
        <v>11959</v>
      </c>
      <c r="C2085" s="13">
        <v>792</v>
      </c>
      <c r="D2085" s="8" t="s">
        <v>11960</v>
      </c>
      <c r="E2085" s="8" t="s">
        <v>11961</v>
      </c>
      <c r="F2085" s="8" t="s">
        <v>2154</v>
      </c>
      <c r="G2085" s="6" t="s">
        <v>81</v>
      </c>
      <c r="H2085" s="6" t="s">
        <v>39</v>
      </c>
      <c r="I2085" s="8" t="s">
        <v>40</v>
      </c>
      <c r="J2085" s="9">
        <v>1</v>
      </c>
      <c r="K2085" s="9">
        <v>194</v>
      </c>
      <c r="L2085" s="9">
        <v>2019</v>
      </c>
      <c r="M2085" s="8" t="s">
        <v>11962</v>
      </c>
      <c r="N2085" s="8" t="s">
        <v>42</v>
      </c>
      <c r="O2085" s="8" t="s">
        <v>189</v>
      </c>
      <c r="P2085" s="6" t="s">
        <v>44</v>
      </c>
      <c r="Q2085" s="8" t="s">
        <v>45</v>
      </c>
      <c r="R2085" s="10" t="s">
        <v>573</v>
      </c>
      <c r="S2085" s="11"/>
      <c r="T2085" s="6"/>
      <c r="U2085" s="24" t="str">
        <f>HYPERLINK("https://media.infra-m.ru/1014/1014727/cover/1014727.jpg", "Обложка")</f>
        <v>Обложка</v>
      </c>
      <c r="V2085" s="24" t="str">
        <f>HYPERLINK("https://znanium.ru/catalog/product/1014727", "Ознакомиться")</f>
        <v>Ознакомиться</v>
      </c>
      <c r="W2085" s="8" t="s">
        <v>2157</v>
      </c>
      <c r="X2085" s="6"/>
      <c r="Y2085" s="6"/>
      <c r="Z2085" s="6"/>
      <c r="AA2085" s="6" t="s">
        <v>369</v>
      </c>
      <c r="AB2085" s="8"/>
    </row>
    <row r="2086" spans="1:28" s="4" customFormat="1" ht="42" customHeight="1">
      <c r="A2086" s="5">
        <v>0</v>
      </c>
      <c r="B2086" s="6" t="s">
        <v>11963</v>
      </c>
      <c r="C2086" s="7">
        <v>1864.8</v>
      </c>
      <c r="D2086" s="8" t="s">
        <v>11964</v>
      </c>
      <c r="E2086" s="8" t="s">
        <v>11965</v>
      </c>
      <c r="F2086" s="8" t="s">
        <v>11966</v>
      </c>
      <c r="G2086" s="6" t="s">
        <v>132</v>
      </c>
      <c r="H2086" s="6" t="s">
        <v>39</v>
      </c>
      <c r="I2086" s="8" t="s">
        <v>40</v>
      </c>
      <c r="J2086" s="9">
        <v>1</v>
      </c>
      <c r="K2086" s="9">
        <v>298</v>
      </c>
      <c r="L2086" s="9">
        <v>2025</v>
      </c>
      <c r="M2086" s="8" t="s">
        <v>11967</v>
      </c>
      <c r="N2086" s="8" t="s">
        <v>42</v>
      </c>
      <c r="O2086" s="8" t="s">
        <v>189</v>
      </c>
      <c r="P2086" s="6" t="s">
        <v>44</v>
      </c>
      <c r="Q2086" s="8" t="s">
        <v>45</v>
      </c>
      <c r="R2086" s="10" t="s">
        <v>2503</v>
      </c>
      <c r="S2086" s="11"/>
      <c r="T2086" s="6"/>
      <c r="U2086" s="24" t="str">
        <f>HYPERLINK("https://media.infra-m.ru/2196/2196132/cover/2196132.jpg", "Обложка")</f>
        <v>Обложка</v>
      </c>
      <c r="V2086" s="24" t="str">
        <f>HYPERLINK("https://znanium.ru/catalog/product/926809", "Ознакомиться")</f>
        <v>Ознакомиться</v>
      </c>
      <c r="W2086" s="8" t="s">
        <v>1475</v>
      </c>
      <c r="X2086" s="6"/>
      <c r="Y2086" s="6"/>
      <c r="Z2086" s="6"/>
      <c r="AA2086" s="6" t="s">
        <v>369</v>
      </c>
      <c r="AB2086" s="8"/>
    </row>
    <row r="2087" spans="1:28" s="4" customFormat="1" ht="51.95" customHeight="1">
      <c r="A2087" s="5">
        <v>0</v>
      </c>
      <c r="B2087" s="6" t="s">
        <v>11968</v>
      </c>
      <c r="C2087" s="7">
        <v>1512</v>
      </c>
      <c r="D2087" s="8" t="s">
        <v>11969</v>
      </c>
      <c r="E2087" s="8" t="s">
        <v>11970</v>
      </c>
      <c r="F2087" s="8" t="s">
        <v>11971</v>
      </c>
      <c r="G2087" s="6" t="s">
        <v>81</v>
      </c>
      <c r="H2087" s="6" t="s">
        <v>39</v>
      </c>
      <c r="I2087" s="8" t="s">
        <v>40</v>
      </c>
      <c r="J2087" s="9">
        <v>1</v>
      </c>
      <c r="K2087" s="9">
        <v>281</v>
      </c>
      <c r="L2087" s="9">
        <v>2019</v>
      </c>
      <c r="M2087" s="8" t="s">
        <v>11972</v>
      </c>
      <c r="N2087" s="8" t="s">
        <v>42</v>
      </c>
      <c r="O2087" s="8" t="s">
        <v>189</v>
      </c>
      <c r="P2087" s="6" t="s">
        <v>44</v>
      </c>
      <c r="Q2087" s="8" t="s">
        <v>45</v>
      </c>
      <c r="R2087" s="10" t="s">
        <v>11973</v>
      </c>
      <c r="S2087" s="11"/>
      <c r="T2087" s="6"/>
      <c r="U2087" s="24" t="str">
        <f>HYPERLINK("https://media.infra-m.ru/1948/1948200/cover/1948200.jpg", "Обложка")</f>
        <v>Обложка</v>
      </c>
      <c r="V2087" s="24" t="str">
        <f>HYPERLINK("https://znanium.ru/catalog/product/948985", "Ознакомиться")</f>
        <v>Ознакомиться</v>
      </c>
      <c r="W2087" s="8" t="s">
        <v>354</v>
      </c>
      <c r="X2087" s="6"/>
      <c r="Y2087" s="6"/>
      <c r="Z2087" s="6"/>
      <c r="AA2087" s="6" t="s">
        <v>76</v>
      </c>
      <c r="AB2087" s="8"/>
    </row>
    <row r="2088" spans="1:28" s="4" customFormat="1" ht="42" customHeight="1">
      <c r="A2088" s="5">
        <v>0</v>
      </c>
      <c r="B2088" s="6" t="s">
        <v>11974</v>
      </c>
      <c r="C2088" s="13">
        <v>820.8</v>
      </c>
      <c r="D2088" s="8" t="s">
        <v>11975</v>
      </c>
      <c r="E2088" s="8" t="s">
        <v>11976</v>
      </c>
      <c r="F2088" s="8" t="s">
        <v>1371</v>
      </c>
      <c r="G2088" s="6" t="s">
        <v>38</v>
      </c>
      <c r="H2088" s="6" t="s">
        <v>99</v>
      </c>
      <c r="I2088" s="8"/>
      <c r="J2088" s="9">
        <v>1</v>
      </c>
      <c r="K2088" s="9">
        <v>136</v>
      </c>
      <c r="L2088" s="9">
        <v>2025</v>
      </c>
      <c r="M2088" s="8" t="s">
        <v>11977</v>
      </c>
      <c r="N2088" s="8" t="s">
        <v>42</v>
      </c>
      <c r="O2088" s="8" t="s">
        <v>65</v>
      </c>
      <c r="P2088" s="6" t="s">
        <v>44</v>
      </c>
      <c r="Q2088" s="8" t="s">
        <v>45</v>
      </c>
      <c r="R2088" s="10" t="s">
        <v>600</v>
      </c>
      <c r="S2088" s="11"/>
      <c r="T2088" s="6"/>
      <c r="U2088" s="24" t="str">
        <f>HYPERLINK("https://media.infra-m.ru/2170/2170326/cover/2170326.jpg", "Обложка")</f>
        <v>Обложка</v>
      </c>
      <c r="V2088" s="24" t="str">
        <f>HYPERLINK("https://znanium.ru/catalog/product/1846285", "Ознакомиться")</f>
        <v>Ознакомиться</v>
      </c>
      <c r="W2088" s="8" t="s">
        <v>418</v>
      </c>
      <c r="X2088" s="6"/>
      <c r="Y2088" s="6"/>
      <c r="Z2088" s="6"/>
      <c r="AA2088" s="6" t="s">
        <v>369</v>
      </c>
      <c r="AB2088" s="8"/>
    </row>
    <row r="2089" spans="1:28" s="4" customFormat="1" ht="51.95" customHeight="1">
      <c r="A2089" s="5">
        <v>0</v>
      </c>
      <c r="B2089" s="6" t="s">
        <v>11978</v>
      </c>
      <c r="C2089" s="7">
        <v>2676</v>
      </c>
      <c r="D2089" s="8" t="s">
        <v>11979</v>
      </c>
      <c r="E2089" s="8" t="s">
        <v>11980</v>
      </c>
      <c r="F2089" s="8" t="s">
        <v>11981</v>
      </c>
      <c r="G2089" s="6" t="s">
        <v>132</v>
      </c>
      <c r="H2089" s="6" t="s">
        <v>39</v>
      </c>
      <c r="I2089" s="8" t="s">
        <v>164</v>
      </c>
      <c r="J2089" s="9">
        <v>1</v>
      </c>
      <c r="K2089" s="9">
        <v>396</v>
      </c>
      <c r="L2089" s="9">
        <v>2025</v>
      </c>
      <c r="M2089" s="8" t="s">
        <v>11982</v>
      </c>
      <c r="N2089" s="8" t="s">
        <v>42</v>
      </c>
      <c r="O2089" s="8" t="s">
        <v>65</v>
      </c>
      <c r="P2089" s="6" t="s">
        <v>44</v>
      </c>
      <c r="Q2089" s="8" t="s">
        <v>45</v>
      </c>
      <c r="R2089" s="10" t="s">
        <v>11983</v>
      </c>
      <c r="S2089" s="11"/>
      <c r="T2089" s="6"/>
      <c r="U2089" s="24" t="str">
        <f>HYPERLINK("https://media.infra-m.ru/2216/2216484/cover/2216484.jpg", "Обложка")</f>
        <v>Обложка</v>
      </c>
      <c r="V2089" s="24" t="str">
        <f>HYPERLINK("https://znanium.ru/catalog/product/2216484", "Ознакомиться")</f>
        <v>Ознакомиться</v>
      </c>
      <c r="W2089" s="8" t="s">
        <v>167</v>
      </c>
      <c r="X2089" s="6" t="s">
        <v>1094</v>
      </c>
      <c r="Y2089" s="6"/>
      <c r="Z2089" s="6"/>
      <c r="AA2089" s="6" t="s">
        <v>159</v>
      </c>
      <c r="AB2089" s="8"/>
    </row>
    <row r="2090" spans="1:28" s="4" customFormat="1" ht="42" customHeight="1">
      <c r="A2090" s="5">
        <v>0</v>
      </c>
      <c r="B2090" s="6" t="s">
        <v>11984</v>
      </c>
      <c r="C2090" s="7">
        <v>2004</v>
      </c>
      <c r="D2090" s="8" t="s">
        <v>11985</v>
      </c>
      <c r="E2090" s="8" t="s">
        <v>11986</v>
      </c>
      <c r="F2090" s="8" t="s">
        <v>1255</v>
      </c>
      <c r="G2090" s="6" t="s">
        <v>132</v>
      </c>
      <c r="H2090" s="6" t="s">
        <v>39</v>
      </c>
      <c r="I2090" s="8" t="s">
        <v>40</v>
      </c>
      <c r="J2090" s="9">
        <v>1</v>
      </c>
      <c r="K2090" s="9">
        <v>369</v>
      </c>
      <c r="L2090" s="9">
        <v>2023</v>
      </c>
      <c r="M2090" s="8" t="s">
        <v>11987</v>
      </c>
      <c r="N2090" s="8" t="s">
        <v>220</v>
      </c>
      <c r="O2090" s="8" t="s">
        <v>1250</v>
      </c>
      <c r="P2090" s="6" t="s">
        <v>44</v>
      </c>
      <c r="Q2090" s="8" t="s">
        <v>45</v>
      </c>
      <c r="R2090" s="10" t="s">
        <v>11988</v>
      </c>
      <c r="S2090" s="11"/>
      <c r="T2090" s="6"/>
      <c r="U2090" s="24" t="str">
        <f>HYPERLINK("https://media.infra-m.ru/1903/1903346/cover/1903346.jpg", "Обложка")</f>
        <v>Обложка</v>
      </c>
      <c r="V2090" s="24" t="str">
        <f>HYPERLINK("https://znanium.ru/catalog/product/1903346", "Ознакомиться")</f>
        <v>Ознакомиться</v>
      </c>
      <c r="W2090" s="8" t="s">
        <v>1258</v>
      </c>
      <c r="X2090" s="6"/>
      <c r="Y2090" s="6"/>
      <c r="Z2090" s="6"/>
      <c r="AA2090" s="6" t="s">
        <v>119</v>
      </c>
      <c r="AB2090" s="8"/>
    </row>
    <row r="2091" spans="1:28" s="4" customFormat="1" ht="51.95" customHeight="1">
      <c r="A2091" s="5">
        <v>0</v>
      </c>
      <c r="B2091" s="6" t="s">
        <v>11989</v>
      </c>
      <c r="C2091" s="13">
        <v>713.9</v>
      </c>
      <c r="D2091" s="8" t="s">
        <v>11990</v>
      </c>
      <c r="E2091" s="8" t="s">
        <v>11991</v>
      </c>
      <c r="F2091" s="8" t="s">
        <v>11992</v>
      </c>
      <c r="G2091" s="6" t="s">
        <v>38</v>
      </c>
      <c r="H2091" s="6" t="s">
        <v>39</v>
      </c>
      <c r="I2091" s="8" t="s">
        <v>40</v>
      </c>
      <c r="J2091" s="9">
        <v>1</v>
      </c>
      <c r="K2091" s="9">
        <v>172</v>
      </c>
      <c r="L2091" s="9">
        <v>2019</v>
      </c>
      <c r="M2091" s="8" t="s">
        <v>11993</v>
      </c>
      <c r="N2091" s="8" t="s">
        <v>54</v>
      </c>
      <c r="O2091" s="8" t="s">
        <v>91</v>
      </c>
      <c r="P2091" s="6" t="s">
        <v>44</v>
      </c>
      <c r="Q2091" s="8" t="s">
        <v>45</v>
      </c>
      <c r="R2091" s="10" t="s">
        <v>11994</v>
      </c>
      <c r="S2091" s="11"/>
      <c r="T2091" s="6"/>
      <c r="U2091" s="24" t="str">
        <f>HYPERLINK("https://media.infra-m.ru/0992/0992568/cover/992568.jpg", "Обложка")</f>
        <v>Обложка</v>
      </c>
      <c r="V2091" s="24" t="str">
        <f>HYPERLINK("https://znanium.ru/catalog/product/1981600", "Ознакомиться")</f>
        <v>Ознакомиться</v>
      </c>
      <c r="W2091" s="8" t="s">
        <v>305</v>
      </c>
      <c r="X2091" s="6"/>
      <c r="Y2091" s="6"/>
      <c r="Z2091" s="6"/>
      <c r="AA2091" s="6" t="s">
        <v>290</v>
      </c>
      <c r="AB2091" s="8"/>
    </row>
    <row r="2092" spans="1:28" s="4" customFormat="1" ht="51.95" customHeight="1">
      <c r="A2092" s="5">
        <v>0</v>
      </c>
      <c r="B2092" s="6" t="s">
        <v>11995</v>
      </c>
      <c r="C2092" s="7">
        <v>1085.9000000000001</v>
      </c>
      <c r="D2092" s="8" t="s">
        <v>11996</v>
      </c>
      <c r="E2092" s="8" t="s">
        <v>11997</v>
      </c>
      <c r="F2092" s="8" t="s">
        <v>3889</v>
      </c>
      <c r="G2092" s="6" t="s">
        <v>38</v>
      </c>
      <c r="H2092" s="6" t="s">
        <v>39</v>
      </c>
      <c r="I2092" s="8" t="s">
        <v>40</v>
      </c>
      <c r="J2092" s="9">
        <v>1</v>
      </c>
      <c r="K2092" s="9">
        <v>201</v>
      </c>
      <c r="L2092" s="9">
        <v>2023</v>
      </c>
      <c r="M2092" s="8" t="s">
        <v>11998</v>
      </c>
      <c r="N2092" s="8" t="s">
        <v>54</v>
      </c>
      <c r="O2092" s="8" t="s">
        <v>91</v>
      </c>
      <c r="P2092" s="6" t="s">
        <v>44</v>
      </c>
      <c r="Q2092" s="8" t="s">
        <v>45</v>
      </c>
      <c r="R2092" s="10" t="s">
        <v>11994</v>
      </c>
      <c r="S2092" s="11"/>
      <c r="T2092" s="6"/>
      <c r="U2092" s="24" t="str">
        <f>HYPERLINK("https://media.infra-m.ru/1981/1981600/cover/1981600.jpg", "Обложка")</f>
        <v>Обложка</v>
      </c>
      <c r="V2092" s="24" t="str">
        <f>HYPERLINK("https://znanium.ru/catalog/product/1981600", "Ознакомиться")</f>
        <v>Ознакомиться</v>
      </c>
      <c r="W2092" s="8" t="s">
        <v>305</v>
      </c>
      <c r="X2092" s="6"/>
      <c r="Y2092" s="6"/>
      <c r="Z2092" s="6"/>
      <c r="AA2092" s="6" t="s">
        <v>177</v>
      </c>
      <c r="AB2092" s="8"/>
    </row>
    <row r="2093" spans="1:28" s="4" customFormat="1" ht="51.95" customHeight="1">
      <c r="A2093" s="5">
        <v>0</v>
      </c>
      <c r="B2093" s="6" t="s">
        <v>11999</v>
      </c>
      <c r="C2093" s="7">
        <v>3840</v>
      </c>
      <c r="D2093" s="8" t="s">
        <v>12000</v>
      </c>
      <c r="E2093" s="8" t="s">
        <v>12001</v>
      </c>
      <c r="F2093" s="8" t="s">
        <v>5315</v>
      </c>
      <c r="G2093" s="6" t="s">
        <v>81</v>
      </c>
      <c r="H2093" s="6" t="s">
        <v>99</v>
      </c>
      <c r="I2093" s="8"/>
      <c r="J2093" s="9">
        <v>1</v>
      </c>
      <c r="K2093" s="9">
        <v>800</v>
      </c>
      <c r="L2093" s="9">
        <v>2025</v>
      </c>
      <c r="M2093" s="8" t="s">
        <v>12002</v>
      </c>
      <c r="N2093" s="8" t="s">
        <v>42</v>
      </c>
      <c r="O2093" s="8" t="s">
        <v>101</v>
      </c>
      <c r="P2093" s="6" t="s">
        <v>44</v>
      </c>
      <c r="Q2093" s="8" t="s">
        <v>45</v>
      </c>
      <c r="R2093" s="10" t="s">
        <v>12003</v>
      </c>
      <c r="S2093" s="11"/>
      <c r="T2093" s="6"/>
      <c r="U2093" s="24" t="str">
        <f>HYPERLINK("https://media.infra-m.ru/2178/2178272/cover/2178272.jpg", "Обложка")</f>
        <v>Обложка</v>
      </c>
      <c r="V2093" s="24" t="str">
        <f>HYPERLINK("https://znanium.ru/catalog/product/1893874", "Ознакомиться")</f>
        <v>Ознакомиться</v>
      </c>
      <c r="W2093" s="8" t="s">
        <v>361</v>
      </c>
      <c r="X2093" s="6"/>
      <c r="Y2093" s="6"/>
      <c r="Z2093" s="6"/>
      <c r="AA2093" s="6" t="s">
        <v>566</v>
      </c>
      <c r="AB2093" s="8"/>
    </row>
    <row r="2094" spans="1:28" s="4" customFormat="1" ht="51.95" customHeight="1">
      <c r="A2094" s="5">
        <v>0</v>
      </c>
      <c r="B2094" s="6" t="s">
        <v>12004</v>
      </c>
      <c r="C2094" s="13">
        <v>504</v>
      </c>
      <c r="D2094" s="8" t="s">
        <v>12005</v>
      </c>
      <c r="E2094" s="8" t="s">
        <v>12006</v>
      </c>
      <c r="F2094" s="8" t="s">
        <v>3426</v>
      </c>
      <c r="G2094" s="6" t="s">
        <v>38</v>
      </c>
      <c r="H2094" s="6" t="s">
        <v>39</v>
      </c>
      <c r="I2094" s="8" t="s">
        <v>40</v>
      </c>
      <c r="J2094" s="9">
        <v>1</v>
      </c>
      <c r="K2094" s="9">
        <v>123</v>
      </c>
      <c r="L2094" s="9">
        <v>2020</v>
      </c>
      <c r="M2094" s="8" t="s">
        <v>12007</v>
      </c>
      <c r="N2094" s="8" t="s">
        <v>54</v>
      </c>
      <c r="O2094" s="8" t="s">
        <v>91</v>
      </c>
      <c r="P2094" s="6" t="s">
        <v>44</v>
      </c>
      <c r="Q2094" s="8" t="s">
        <v>45</v>
      </c>
      <c r="R2094" s="10" t="s">
        <v>11994</v>
      </c>
      <c r="S2094" s="11"/>
      <c r="T2094" s="6"/>
      <c r="U2094" s="24" t="str">
        <f>HYPERLINK("https://media.infra-m.ru/1036/1036510/cover/1036510.jpg", "Обложка")</f>
        <v>Обложка</v>
      </c>
      <c r="V2094" s="24" t="str">
        <f>HYPERLINK("https://znanium.ru/catalog/product/1036510", "Ознакомиться")</f>
        <v>Ознакомиться</v>
      </c>
      <c r="W2094" s="8" t="s">
        <v>699</v>
      </c>
      <c r="X2094" s="6"/>
      <c r="Y2094" s="6"/>
      <c r="Z2094" s="6"/>
      <c r="AA2094" s="6" t="s">
        <v>48</v>
      </c>
      <c r="AB2094" s="8"/>
    </row>
    <row r="2095" spans="1:28" s="4" customFormat="1" ht="42" customHeight="1">
      <c r="A2095" s="5">
        <v>0</v>
      </c>
      <c r="B2095" s="6" t="s">
        <v>12008</v>
      </c>
      <c r="C2095" s="7">
        <v>1156.8</v>
      </c>
      <c r="D2095" s="8" t="s">
        <v>12009</v>
      </c>
      <c r="E2095" s="8" t="s">
        <v>12010</v>
      </c>
      <c r="F2095" s="8" t="s">
        <v>12011</v>
      </c>
      <c r="G2095" s="6" t="s">
        <v>81</v>
      </c>
      <c r="H2095" s="6" t="s">
        <v>99</v>
      </c>
      <c r="I2095" s="8"/>
      <c r="J2095" s="9">
        <v>1</v>
      </c>
      <c r="K2095" s="9">
        <v>192</v>
      </c>
      <c r="L2095" s="9">
        <v>2025</v>
      </c>
      <c r="M2095" s="8" t="s">
        <v>12012</v>
      </c>
      <c r="N2095" s="8" t="s">
        <v>42</v>
      </c>
      <c r="O2095" s="8" t="s">
        <v>65</v>
      </c>
      <c r="P2095" s="6" t="s">
        <v>44</v>
      </c>
      <c r="Q2095" s="8" t="s">
        <v>45</v>
      </c>
      <c r="R2095" s="10" t="s">
        <v>874</v>
      </c>
      <c r="S2095" s="11"/>
      <c r="T2095" s="6"/>
      <c r="U2095" s="24" t="str">
        <f>HYPERLINK("https://media.infra-m.ru/2179/2179203/cover/2179203.jpg", "Обложка")</f>
        <v>Обложка</v>
      </c>
      <c r="V2095" s="24" t="str">
        <f>HYPERLINK("https://znanium.ru/catalog/product/1993588", "Ознакомиться")</f>
        <v>Ознакомиться</v>
      </c>
      <c r="W2095" s="8" t="s">
        <v>418</v>
      </c>
      <c r="X2095" s="6"/>
      <c r="Y2095" s="6"/>
      <c r="Z2095" s="6"/>
      <c r="AA2095" s="6" t="s">
        <v>369</v>
      </c>
      <c r="AB2095" s="8"/>
    </row>
    <row r="2096" spans="1:28" s="4" customFormat="1" ht="51.95" customHeight="1">
      <c r="A2096" s="5">
        <v>0</v>
      </c>
      <c r="B2096" s="6" t="s">
        <v>12013</v>
      </c>
      <c r="C2096" s="13">
        <v>772.8</v>
      </c>
      <c r="D2096" s="8" t="s">
        <v>12014</v>
      </c>
      <c r="E2096" s="8" t="s">
        <v>12015</v>
      </c>
      <c r="F2096" s="8" t="s">
        <v>12016</v>
      </c>
      <c r="G2096" s="6" t="s">
        <v>38</v>
      </c>
      <c r="H2096" s="6" t="s">
        <v>39</v>
      </c>
      <c r="I2096" s="8" t="s">
        <v>40</v>
      </c>
      <c r="J2096" s="9">
        <v>1</v>
      </c>
      <c r="K2096" s="9">
        <v>140</v>
      </c>
      <c r="L2096" s="9">
        <v>2024</v>
      </c>
      <c r="M2096" s="8" t="s">
        <v>12017</v>
      </c>
      <c r="N2096" s="8" t="s">
        <v>42</v>
      </c>
      <c r="O2096" s="8" t="s">
        <v>65</v>
      </c>
      <c r="P2096" s="6" t="s">
        <v>44</v>
      </c>
      <c r="Q2096" s="8" t="s">
        <v>45</v>
      </c>
      <c r="R2096" s="10" t="s">
        <v>12018</v>
      </c>
      <c r="S2096" s="11"/>
      <c r="T2096" s="6"/>
      <c r="U2096" s="24" t="str">
        <f>HYPERLINK("https://media.infra-m.ru/2084/2084562/cover/2084562.jpg", "Обложка")</f>
        <v>Обложка</v>
      </c>
      <c r="V2096" s="24" t="str">
        <f>HYPERLINK("https://znanium.ru/catalog/product/2084562", "Ознакомиться")</f>
        <v>Ознакомиться</v>
      </c>
      <c r="W2096" s="8" t="s">
        <v>773</v>
      </c>
      <c r="X2096" s="6"/>
      <c r="Y2096" s="6"/>
      <c r="Z2096" s="6"/>
      <c r="AA2096" s="6" t="s">
        <v>127</v>
      </c>
      <c r="AB2096" s="8"/>
    </row>
    <row r="2097" spans="1:28" s="4" customFormat="1" ht="51.95" customHeight="1">
      <c r="A2097" s="5">
        <v>0</v>
      </c>
      <c r="B2097" s="6" t="s">
        <v>12019</v>
      </c>
      <c r="C2097" s="13">
        <v>988.8</v>
      </c>
      <c r="D2097" s="8" t="s">
        <v>12020</v>
      </c>
      <c r="E2097" s="8" t="s">
        <v>12021</v>
      </c>
      <c r="F2097" s="8" t="s">
        <v>12022</v>
      </c>
      <c r="G2097" s="6" t="s">
        <v>38</v>
      </c>
      <c r="H2097" s="6" t="s">
        <v>99</v>
      </c>
      <c r="I2097" s="8"/>
      <c r="J2097" s="9">
        <v>1</v>
      </c>
      <c r="K2097" s="9">
        <v>176</v>
      </c>
      <c r="L2097" s="9">
        <v>2024</v>
      </c>
      <c r="M2097" s="8" t="s">
        <v>12023</v>
      </c>
      <c r="N2097" s="8" t="s">
        <v>42</v>
      </c>
      <c r="O2097" s="8" t="s">
        <v>65</v>
      </c>
      <c r="P2097" s="6" t="s">
        <v>44</v>
      </c>
      <c r="Q2097" s="8" t="s">
        <v>45</v>
      </c>
      <c r="R2097" s="10" t="s">
        <v>12024</v>
      </c>
      <c r="S2097" s="11"/>
      <c r="T2097" s="6"/>
      <c r="U2097" s="24" t="str">
        <f>HYPERLINK("https://media.infra-m.ru/2146/2146807/cover/2146807.jpg", "Обложка")</f>
        <v>Обложка</v>
      </c>
      <c r="V2097" s="24" t="str">
        <f>HYPERLINK("https://znanium.ru/catalog/product/1092006", "Ознакомиться")</f>
        <v>Ознакомиться</v>
      </c>
      <c r="W2097" s="8" t="s">
        <v>418</v>
      </c>
      <c r="X2097" s="6"/>
      <c r="Y2097" s="6"/>
      <c r="Z2097" s="6"/>
      <c r="AA2097" s="6" t="s">
        <v>339</v>
      </c>
      <c r="AB2097" s="8"/>
    </row>
    <row r="2098" spans="1:28" s="4" customFormat="1" ht="44.1" customHeight="1">
      <c r="A2098" s="5">
        <v>0</v>
      </c>
      <c r="B2098" s="6" t="s">
        <v>12025</v>
      </c>
      <c r="C2098" s="13">
        <v>828</v>
      </c>
      <c r="D2098" s="8" t="s">
        <v>12026</v>
      </c>
      <c r="E2098" s="8" t="s">
        <v>12027</v>
      </c>
      <c r="F2098" s="8" t="s">
        <v>12028</v>
      </c>
      <c r="G2098" s="6" t="s">
        <v>38</v>
      </c>
      <c r="H2098" s="6" t="s">
        <v>39</v>
      </c>
      <c r="I2098" s="8" t="s">
        <v>40</v>
      </c>
      <c r="J2098" s="9">
        <v>1</v>
      </c>
      <c r="K2098" s="9">
        <v>164</v>
      </c>
      <c r="L2098" s="9">
        <v>2021</v>
      </c>
      <c r="M2098" s="8" t="s">
        <v>12029</v>
      </c>
      <c r="N2098" s="8" t="s">
        <v>42</v>
      </c>
      <c r="O2098" s="8" t="s">
        <v>65</v>
      </c>
      <c r="P2098" s="6" t="s">
        <v>44</v>
      </c>
      <c r="Q2098" s="8" t="s">
        <v>45</v>
      </c>
      <c r="R2098" s="10" t="s">
        <v>5828</v>
      </c>
      <c r="S2098" s="11"/>
      <c r="T2098" s="6"/>
      <c r="U2098" s="24" t="str">
        <f>HYPERLINK("https://media.infra-m.ru/1209/1209845/cover/1209845.jpg", "Обложка")</f>
        <v>Обложка</v>
      </c>
      <c r="V2098" s="24" t="str">
        <f>HYPERLINK("https://znanium.ru/catalog/product/1209845", "Ознакомиться")</f>
        <v>Ознакомиться</v>
      </c>
      <c r="W2098" s="8" t="s">
        <v>2813</v>
      </c>
      <c r="X2098" s="6"/>
      <c r="Y2098" s="6"/>
      <c r="Z2098" s="6"/>
      <c r="AA2098" s="6" t="s">
        <v>199</v>
      </c>
      <c r="AB2098" s="8"/>
    </row>
    <row r="2099" spans="1:28" s="4" customFormat="1" ht="42" customHeight="1">
      <c r="A2099" s="5">
        <v>0</v>
      </c>
      <c r="B2099" s="6" t="s">
        <v>12030</v>
      </c>
      <c r="C2099" s="13">
        <v>928.8</v>
      </c>
      <c r="D2099" s="8" t="s">
        <v>12031</v>
      </c>
      <c r="E2099" s="8" t="s">
        <v>12032</v>
      </c>
      <c r="F2099" s="8" t="s">
        <v>697</v>
      </c>
      <c r="G2099" s="6" t="s">
        <v>38</v>
      </c>
      <c r="H2099" s="6" t="s">
        <v>39</v>
      </c>
      <c r="I2099" s="8" t="s">
        <v>40</v>
      </c>
      <c r="J2099" s="9">
        <v>1</v>
      </c>
      <c r="K2099" s="9">
        <v>145</v>
      </c>
      <c r="L2099" s="9">
        <v>2023</v>
      </c>
      <c r="M2099" s="8" t="s">
        <v>12033</v>
      </c>
      <c r="N2099" s="8" t="s">
        <v>54</v>
      </c>
      <c r="O2099" s="8" t="s">
        <v>91</v>
      </c>
      <c r="P2099" s="6" t="s">
        <v>44</v>
      </c>
      <c r="Q2099" s="8" t="s">
        <v>45</v>
      </c>
      <c r="R2099" s="10" t="s">
        <v>197</v>
      </c>
      <c r="S2099" s="11"/>
      <c r="T2099" s="6"/>
      <c r="U2099" s="24" t="str">
        <f>HYPERLINK("https://media.infra-m.ru/1964/1964963/cover/1964963.jpg", "Обложка")</f>
        <v>Обложка</v>
      </c>
      <c r="V2099" s="24" t="str">
        <f>HYPERLINK("https://znanium.ru/catalog/product/1964963", "Ознакомиться")</f>
        <v>Ознакомиться</v>
      </c>
      <c r="W2099" s="8" t="s">
        <v>699</v>
      </c>
      <c r="X2099" s="6"/>
      <c r="Y2099" s="6"/>
      <c r="Z2099" s="6"/>
      <c r="AA2099" s="6" t="s">
        <v>168</v>
      </c>
      <c r="AB2099" s="8"/>
    </row>
    <row r="2100" spans="1:28" s="4" customFormat="1" ht="44.1" customHeight="1">
      <c r="A2100" s="5">
        <v>0</v>
      </c>
      <c r="B2100" s="6" t="s">
        <v>12034</v>
      </c>
      <c r="C2100" s="7">
        <v>1504.8</v>
      </c>
      <c r="D2100" s="8" t="s">
        <v>12035</v>
      </c>
      <c r="E2100" s="8" t="s">
        <v>12036</v>
      </c>
      <c r="F2100" s="8" t="s">
        <v>12037</v>
      </c>
      <c r="G2100" s="6" t="s">
        <v>81</v>
      </c>
      <c r="H2100" s="6" t="s">
        <v>39</v>
      </c>
      <c r="I2100" s="8" t="s">
        <v>40</v>
      </c>
      <c r="J2100" s="9">
        <v>1</v>
      </c>
      <c r="K2100" s="9">
        <v>250</v>
      </c>
      <c r="L2100" s="9">
        <v>2025</v>
      </c>
      <c r="M2100" s="8" t="s">
        <v>12038</v>
      </c>
      <c r="N2100" s="8" t="s">
        <v>42</v>
      </c>
      <c r="O2100" s="8" t="s">
        <v>65</v>
      </c>
      <c r="P2100" s="6" t="s">
        <v>44</v>
      </c>
      <c r="Q2100" s="8" t="s">
        <v>45</v>
      </c>
      <c r="R2100" s="10" t="s">
        <v>772</v>
      </c>
      <c r="S2100" s="11"/>
      <c r="T2100" s="6"/>
      <c r="U2100" s="24" t="str">
        <f>HYPERLINK("https://media.infra-m.ru/2187/2187617/cover/2187617.jpg", "Обложка")</f>
        <v>Обложка</v>
      </c>
      <c r="V2100" s="24" t="str">
        <f>HYPERLINK("https://znanium.ru/catalog/product/2179177", "Ознакомиться")</f>
        <v>Ознакомиться</v>
      </c>
      <c r="W2100" s="8" t="s">
        <v>223</v>
      </c>
      <c r="X2100" s="6"/>
      <c r="Y2100" s="6"/>
      <c r="Z2100" s="6"/>
      <c r="AA2100" s="6" t="s">
        <v>127</v>
      </c>
      <c r="AB2100" s="8"/>
    </row>
    <row r="2101" spans="1:28" s="4" customFormat="1" ht="42" customHeight="1">
      <c r="A2101" s="5">
        <v>0</v>
      </c>
      <c r="B2101" s="6" t="s">
        <v>12039</v>
      </c>
      <c r="C2101" s="7">
        <v>1536</v>
      </c>
      <c r="D2101" s="8" t="s">
        <v>12040</v>
      </c>
      <c r="E2101" s="8" t="s">
        <v>12041</v>
      </c>
      <c r="F2101" s="8" t="s">
        <v>12042</v>
      </c>
      <c r="G2101" s="6" t="s">
        <v>132</v>
      </c>
      <c r="H2101" s="6" t="s">
        <v>39</v>
      </c>
      <c r="I2101" s="8" t="s">
        <v>40</v>
      </c>
      <c r="J2101" s="9">
        <v>1</v>
      </c>
      <c r="K2101" s="9">
        <v>271</v>
      </c>
      <c r="L2101" s="9">
        <v>2024</v>
      </c>
      <c r="M2101" s="8" t="s">
        <v>12043</v>
      </c>
      <c r="N2101" s="8" t="s">
        <v>42</v>
      </c>
      <c r="O2101" s="8" t="s">
        <v>65</v>
      </c>
      <c r="P2101" s="6" t="s">
        <v>44</v>
      </c>
      <c r="Q2101" s="8" t="s">
        <v>45</v>
      </c>
      <c r="R2101" s="10" t="s">
        <v>12044</v>
      </c>
      <c r="S2101" s="11"/>
      <c r="T2101" s="6"/>
      <c r="U2101" s="24" t="str">
        <f>HYPERLINK("https://media.infra-m.ru/2082/2082661/cover/2082661.jpg", "Обложка")</f>
        <v>Обложка</v>
      </c>
      <c r="V2101" s="24" t="str">
        <f>HYPERLINK("https://znanium.ru/catalog/product/2082661", "Ознакомиться")</f>
        <v>Ознакомиться</v>
      </c>
      <c r="W2101" s="8" t="s">
        <v>12045</v>
      </c>
      <c r="X2101" s="6"/>
      <c r="Y2101" s="6"/>
      <c r="Z2101" s="6"/>
      <c r="AA2101" s="6" t="s">
        <v>58</v>
      </c>
      <c r="AB2101" s="8"/>
    </row>
    <row r="2102" spans="1:28" s="4" customFormat="1" ht="51.95" customHeight="1">
      <c r="A2102" s="5">
        <v>0</v>
      </c>
      <c r="B2102" s="6" t="s">
        <v>12046</v>
      </c>
      <c r="C2102" s="13">
        <v>960</v>
      </c>
      <c r="D2102" s="8" t="s">
        <v>12047</v>
      </c>
      <c r="E2102" s="8" t="s">
        <v>12048</v>
      </c>
      <c r="F2102" s="8" t="s">
        <v>12049</v>
      </c>
      <c r="G2102" s="6" t="s">
        <v>38</v>
      </c>
      <c r="H2102" s="6" t="s">
        <v>39</v>
      </c>
      <c r="I2102" s="8" t="s">
        <v>40</v>
      </c>
      <c r="J2102" s="9">
        <v>1</v>
      </c>
      <c r="K2102" s="9">
        <v>171</v>
      </c>
      <c r="L2102" s="9">
        <v>2023</v>
      </c>
      <c r="M2102" s="8" t="s">
        <v>12050</v>
      </c>
      <c r="N2102" s="8" t="s">
        <v>42</v>
      </c>
      <c r="O2102" s="8" t="s">
        <v>65</v>
      </c>
      <c r="P2102" s="6" t="s">
        <v>44</v>
      </c>
      <c r="Q2102" s="8" t="s">
        <v>45</v>
      </c>
      <c r="R2102" s="10" t="s">
        <v>12051</v>
      </c>
      <c r="S2102" s="11"/>
      <c r="T2102" s="6"/>
      <c r="U2102" s="24" t="str">
        <f>HYPERLINK("https://media.infra-m.ru/1910/1910609/cover/1910609.jpg", "Обложка")</f>
        <v>Обложка</v>
      </c>
      <c r="V2102" s="24" t="str">
        <f>HYPERLINK("https://znanium.ru/catalog/product/1910609", "Ознакомиться")</f>
        <v>Ознакомиться</v>
      </c>
      <c r="W2102" s="8" t="s">
        <v>11870</v>
      </c>
      <c r="X2102" s="6"/>
      <c r="Y2102" s="6"/>
      <c r="Z2102" s="6"/>
      <c r="AA2102" s="6" t="s">
        <v>119</v>
      </c>
      <c r="AB2102" s="8" t="s">
        <v>12052</v>
      </c>
    </row>
    <row r="2103" spans="1:28" s="4" customFormat="1" ht="42" customHeight="1">
      <c r="A2103" s="5">
        <v>0</v>
      </c>
      <c r="B2103" s="6" t="s">
        <v>12053</v>
      </c>
      <c r="C2103" s="7">
        <v>1008</v>
      </c>
      <c r="D2103" s="8" t="s">
        <v>12054</v>
      </c>
      <c r="E2103" s="8" t="s">
        <v>12055</v>
      </c>
      <c r="F2103" s="8" t="s">
        <v>12056</v>
      </c>
      <c r="G2103" s="6" t="s">
        <v>38</v>
      </c>
      <c r="H2103" s="6" t="s">
        <v>39</v>
      </c>
      <c r="I2103" s="8" t="s">
        <v>40</v>
      </c>
      <c r="J2103" s="9">
        <v>1</v>
      </c>
      <c r="K2103" s="9">
        <v>178</v>
      </c>
      <c r="L2103" s="9">
        <v>2024</v>
      </c>
      <c r="M2103" s="8" t="s">
        <v>12057</v>
      </c>
      <c r="N2103" s="8" t="s">
        <v>54</v>
      </c>
      <c r="O2103" s="8" t="s">
        <v>55</v>
      </c>
      <c r="P2103" s="6" t="s">
        <v>44</v>
      </c>
      <c r="Q2103" s="8" t="s">
        <v>45</v>
      </c>
      <c r="R2103" s="10" t="s">
        <v>1487</v>
      </c>
      <c r="S2103" s="11"/>
      <c r="T2103" s="6"/>
      <c r="U2103" s="24" t="str">
        <f>HYPERLINK("https://media.infra-m.ru/2147/2147909/cover/2147909.jpg", "Обложка")</f>
        <v>Обложка</v>
      </c>
      <c r="V2103" s="24" t="str">
        <f>HYPERLINK("https://znanium.ru/catalog/product/2147909", "Ознакомиться")</f>
        <v>Ознакомиться</v>
      </c>
      <c r="W2103" s="8" t="s">
        <v>12058</v>
      </c>
      <c r="X2103" s="6"/>
      <c r="Y2103" s="6"/>
      <c r="Z2103" s="6"/>
      <c r="AA2103" s="6" t="s">
        <v>168</v>
      </c>
      <c r="AB2103" s="8"/>
    </row>
    <row r="2104" spans="1:28" s="4" customFormat="1" ht="42" customHeight="1">
      <c r="A2104" s="5">
        <v>0</v>
      </c>
      <c r="B2104" s="6" t="s">
        <v>12059</v>
      </c>
      <c r="C2104" s="7">
        <v>1252.8</v>
      </c>
      <c r="D2104" s="8" t="s">
        <v>12060</v>
      </c>
      <c r="E2104" s="8" t="s">
        <v>12061</v>
      </c>
      <c r="F2104" s="8" t="s">
        <v>12062</v>
      </c>
      <c r="G2104" s="6" t="s">
        <v>38</v>
      </c>
      <c r="H2104" s="6" t="s">
        <v>1019</v>
      </c>
      <c r="I2104" s="8" t="s">
        <v>1020</v>
      </c>
      <c r="J2104" s="9">
        <v>1</v>
      </c>
      <c r="K2104" s="9">
        <v>222</v>
      </c>
      <c r="L2104" s="9">
        <v>2024</v>
      </c>
      <c r="M2104" s="8" t="s">
        <v>12063</v>
      </c>
      <c r="N2104" s="8" t="s">
        <v>42</v>
      </c>
      <c r="O2104" s="8" t="s">
        <v>65</v>
      </c>
      <c r="P2104" s="6" t="s">
        <v>44</v>
      </c>
      <c r="Q2104" s="8" t="s">
        <v>45</v>
      </c>
      <c r="R2104" s="10" t="s">
        <v>823</v>
      </c>
      <c r="S2104" s="11"/>
      <c r="T2104" s="6"/>
      <c r="U2104" s="24" t="str">
        <f>HYPERLINK("https://media.infra-m.ru/2144/2144240/cover/2144240.jpg", "Обложка")</f>
        <v>Обложка</v>
      </c>
      <c r="V2104" s="24" t="str">
        <f>HYPERLINK("https://znanium.ru/catalog/product/1010038", "Ознакомиться")</f>
        <v>Ознакомиться</v>
      </c>
      <c r="W2104" s="8" t="s">
        <v>7514</v>
      </c>
      <c r="X2104" s="6"/>
      <c r="Y2104" s="6"/>
      <c r="Z2104" s="6"/>
      <c r="AA2104" s="6" t="s">
        <v>377</v>
      </c>
      <c r="AB2104" s="8"/>
    </row>
    <row r="2105" spans="1:28" s="4" customFormat="1" ht="51.95" customHeight="1">
      <c r="A2105" s="5">
        <v>0</v>
      </c>
      <c r="B2105" s="6" t="s">
        <v>12064</v>
      </c>
      <c r="C2105" s="13">
        <v>880.8</v>
      </c>
      <c r="D2105" s="8" t="s">
        <v>12065</v>
      </c>
      <c r="E2105" s="8" t="s">
        <v>12066</v>
      </c>
      <c r="F2105" s="8" t="s">
        <v>12067</v>
      </c>
      <c r="G2105" s="6" t="s">
        <v>38</v>
      </c>
      <c r="H2105" s="6" t="s">
        <v>39</v>
      </c>
      <c r="I2105" s="8" t="s">
        <v>40</v>
      </c>
      <c r="J2105" s="9">
        <v>1</v>
      </c>
      <c r="K2105" s="9">
        <v>160</v>
      </c>
      <c r="L2105" s="9">
        <v>2024</v>
      </c>
      <c r="M2105" s="8" t="s">
        <v>12068</v>
      </c>
      <c r="N2105" s="8" t="s">
        <v>42</v>
      </c>
      <c r="O2105" s="8" t="s">
        <v>189</v>
      </c>
      <c r="P2105" s="6" t="s">
        <v>44</v>
      </c>
      <c r="Q2105" s="8" t="s">
        <v>45</v>
      </c>
      <c r="R2105" s="10" t="s">
        <v>12069</v>
      </c>
      <c r="S2105" s="11"/>
      <c r="T2105" s="6"/>
      <c r="U2105" s="24" t="str">
        <f>HYPERLINK("https://media.infra-m.ru/2117/2117122/cover/2117122.jpg", "Обложка")</f>
        <v>Обложка</v>
      </c>
      <c r="V2105" s="24" t="str">
        <f>HYPERLINK("https://znanium.ru/catalog/product/369085", "Ознакомиться")</f>
        <v>Ознакомиться</v>
      </c>
      <c r="W2105" s="8"/>
      <c r="X2105" s="6"/>
      <c r="Y2105" s="6"/>
      <c r="Z2105" s="6"/>
      <c r="AA2105" s="6" t="s">
        <v>127</v>
      </c>
      <c r="AB2105" s="8"/>
    </row>
    <row r="2106" spans="1:28" s="4" customFormat="1" ht="42" customHeight="1">
      <c r="A2106" s="5">
        <v>0</v>
      </c>
      <c r="B2106" s="6" t="s">
        <v>12070</v>
      </c>
      <c r="C2106" s="7">
        <v>1036.8</v>
      </c>
      <c r="D2106" s="8" t="s">
        <v>12071</v>
      </c>
      <c r="E2106" s="8" t="s">
        <v>12072</v>
      </c>
      <c r="F2106" s="8" t="s">
        <v>12073</v>
      </c>
      <c r="G2106" s="6" t="s">
        <v>38</v>
      </c>
      <c r="H2106" s="6" t="s">
        <v>182</v>
      </c>
      <c r="I2106" s="8" t="s">
        <v>40</v>
      </c>
      <c r="J2106" s="9">
        <v>1</v>
      </c>
      <c r="K2106" s="9">
        <v>187</v>
      </c>
      <c r="L2106" s="9">
        <v>2024</v>
      </c>
      <c r="M2106" s="8" t="s">
        <v>12074</v>
      </c>
      <c r="N2106" s="8" t="s">
        <v>42</v>
      </c>
      <c r="O2106" s="8" t="s">
        <v>101</v>
      </c>
      <c r="P2106" s="6" t="s">
        <v>44</v>
      </c>
      <c r="Q2106" s="8" t="s">
        <v>45</v>
      </c>
      <c r="R2106" s="10" t="s">
        <v>564</v>
      </c>
      <c r="S2106" s="11"/>
      <c r="T2106" s="6"/>
      <c r="U2106" s="24" t="str">
        <f>HYPERLINK("https://media.infra-m.ru/1895/1895626/cover/1895626.jpg", "Обложка")</f>
        <v>Обложка</v>
      </c>
      <c r="V2106" s="24" t="str">
        <f>HYPERLINK("https://znanium.ru/catalog/product/1210238", "Ознакомиться")</f>
        <v>Ознакомиться</v>
      </c>
      <c r="W2106" s="8" t="s">
        <v>601</v>
      </c>
      <c r="X2106" s="6"/>
      <c r="Y2106" s="6"/>
      <c r="Z2106" s="6"/>
      <c r="AA2106" s="6" t="s">
        <v>369</v>
      </c>
      <c r="AB2106" s="8"/>
    </row>
    <row r="2107" spans="1:28" s="4" customFormat="1" ht="51.95" customHeight="1">
      <c r="A2107" s="5">
        <v>0</v>
      </c>
      <c r="B2107" s="6" t="s">
        <v>12075</v>
      </c>
      <c r="C2107" s="13">
        <v>828</v>
      </c>
      <c r="D2107" s="8" t="s">
        <v>12076</v>
      </c>
      <c r="E2107" s="8" t="s">
        <v>12077</v>
      </c>
      <c r="F2107" s="8" t="s">
        <v>12078</v>
      </c>
      <c r="G2107" s="6" t="s">
        <v>38</v>
      </c>
      <c r="H2107" s="6" t="s">
        <v>39</v>
      </c>
      <c r="I2107" s="8" t="s">
        <v>40</v>
      </c>
      <c r="J2107" s="9">
        <v>1</v>
      </c>
      <c r="K2107" s="9">
        <v>148</v>
      </c>
      <c r="L2107" s="9">
        <v>2023</v>
      </c>
      <c r="M2107" s="8" t="s">
        <v>12079</v>
      </c>
      <c r="N2107" s="8" t="s">
        <v>42</v>
      </c>
      <c r="O2107" s="8" t="s">
        <v>1002</v>
      </c>
      <c r="P2107" s="6" t="s">
        <v>44</v>
      </c>
      <c r="Q2107" s="8" t="s">
        <v>45</v>
      </c>
      <c r="R2107" s="10" t="s">
        <v>12080</v>
      </c>
      <c r="S2107" s="11"/>
      <c r="T2107" s="6"/>
      <c r="U2107" s="24" t="str">
        <f>HYPERLINK("https://media.infra-m.ru/1868/1868937/cover/1868937.jpg", "Обложка")</f>
        <v>Обложка</v>
      </c>
      <c r="V2107" s="24" t="str">
        <f>HYPERLINK("https://znanium.ru/catalog/product/1868937", "Ознакомиться")</f>
        <v>Ознакомиться</v>
      </c>
      <c r="W2107" s="8" t="s">
        <v>817</v>
      </c>
      <c r="X2107" s="6"/>
      <c r="Y2107" s="6"/>
      <c r="Z2107" s="6"/>
      <c r="AA2107" s="6" t="s">
        <v>119</v>
      </c>
      <c r="AB2107" s="8"/>
    </row>
    <row r="2108" spans="1:28" s="4" customFormat="1" ht="44.1" customHeight="1">
      <c r="A2108" s="5">
        <v>0</v>
      </c>
      <c r="B2108" s="6" t="s">
        <v>12081</v>
      </c>
      <c r="C2108" s="13">
        <v>904.8</v>
      </c>
      <c r="D2108" s="8" t="s">
        <v>12082</v>
      </c>
      <c r="E2108" s="8" t="s">
        <v>12083</v>
      </c>
      <c r="F2108" s="8" t="s">
        <v>12084</v>
      </c>
      <c r="G2108" s="6" t="s">
        <v>38</v>
      </c>
      <c r="H2108" s="6" t="s">
        <v>571</v>
      </c>
      <c r="I2108" s="8"/>
      <c r="J2108" s="9">
        <v>1</v>
      </c>
      <c r="K2108" s="9">
        <v>136</v>
      </c>
      <c r="L2108" s="9">
        <v>2026</v>
      </c>
      <c r="M2108" s="8" t="s">
        <v>12085</v>
      </c>
      <c r="N2108" s="8" t="s">
        <v>54</v>
      </c>
      <c r="O2108" s="8" t="s">
        <v>140</v>
      </c>
      <c r="P2108" s="6" t="s">
        <v>44</v>
      </c>
      <c r="Q2108" s="8" t="s">
        <v>1152</v>
      </c>
      <c r="R2108" s="10" t="s">
        <v>12086</v>
      </c>
      <c r="S2108" s="11"/>
      <c r="T2108" s="6"/>
      <c r="U2108" s="24" t="str">
        <f>HYPERLINK("https://media.infra-m.ru/2226/2226829/cover/2226829.jpg", "Обложка")</f>
        <v>Обложка</v>
      </c>
      <c r="V2108" s="24" t="str">
        <f>HYPERLINK("https://znanium.ru/catalog/product/1854956", "Ознакомиться")</f>
        <v>Ознакомиться</v>
      </c>
      <c r="W2108" s="8" t="s">
        <v>1389</v>
      </c>
      <c r="X2108" s="6"/>
      <c r="Y2108" s="6"/>
      <c r="Z2108" s="6"/>
      <c r="AA2108" s="6" t="s">
        <v>377</v>
      </c>
      <c r="AB2108" s="8"/>
    </row>
    <row r="2109" spans="1:28" s="4" customFormat="1" ht="42" customHeight="1">
      <c r="A2109" s="5">
        <v>0</v>
      </c>
      <c r="B2109" s="6" t="s">
        <v>12087</v>
      </c>
      <c r="C2109" s="13">
        <v>616.79999999999995</v>
      </c>
      <c r="D2109" s="8" t="s">
        <v>12088</v>
      </c>
      <c r="E2109" s="8" t="s">
        <v>12089</v>
      </c>
      <c r="F2109" s="8" t="s">
        <v>12090</v>
      </c>
      <c r="G2109" s="6" t="s">
        <v>38</v>
      </c>
      <c r="H2109" s="6" t="s">
        <v>39</v>
      </c>
      <c r="I2109" s="8" t="s">
        <v>344</v>
      </c>
      <c r="J2109" s="9">
        <v>1</v>
      </c>
      <c r="K2109" s="9">
        <v>113</v>
      </c>
      <c r="L2109" s="9">
        <v>2023</v>
      </c>
      <c r="M2109" s="8" t="s">
        <v>12091</v>
      </c>
      <c r="N2109" s="8" t="s">
        <v>42</v>
      </c>
      <c r="O2109" s="8" t="s">
        <v>1002</v>
      </c>
      <c r="P2109" s="6" t="s">
        <v>44</v>
      </c>
      <c r="Q2109" s="8" t="s">
        <v>45</v>
      </c>
      <c r="R2109" s="10" t="s">
        <v>12092</v>
      </c>
      <c r="S2109" s="11"/>
      <c r="T2109" s="6"/>
      <c r="U2109" s="24" t="str">
        <f>HYPERLINK("https://media.infra-m.ru/2006/2006895/cover/2006895.jpg", "Обложка")</f>
        <v>Обложка</v>
      </c>
      <c r="V2109" s="12"/>
      <c r="W2109" s="8" t="s">
        <v>346</v>
      </c>
      <c r="X2109" s="6"/>
      <c r="Y2109" s="6"/>
      <c r="Z2109" s="6"/>
      <c r="AA2109" s="6" t="s">
        <v>68</v>
      </c>
      <c r="AB2109" s="8"/>
    </row>
    <row r="2110" spans="1:28" s="4" customFormat="1" ht="42" customHeight="1">
      <c r="A2110" s="5">
        <v>0</v>
      </c>
      <c r="B2110" s="6" t="s">
        <v>12093</v>
      </c>
      <c r="C2110" s="13">
        <v>940.8</v>
      </c>
      <c r="D2110" s="8" t="s">
        <v>12094</v>
      </c>
      <c r="E2110" s="8" t="s">
        <v>12095</v>
      </c>
      <c r="F2110" s="8" t="s">
        <v>770</v>
      </c>
      <c r="G2110" s="6" t="s">
        <v>38</v>
      </c>
      <c r="H2110" s="6" t="s">
        <v>39</v>
      </c>
      <c r="I2110" s="8" t="s">
        <v>40</v>
      </c>
      <c r="J2110" s="9">
        <v>1</v>
      </c>
      <c r="K2110" s="9">
        <v>166</v>
      </c>
      <c r="L2110" s="9">
        <v>2024</v>
      </c>
      <c r="M2110" s="8" t="s">
        <v>12096</v>
      </c>
      <c r="N2110" s="8" t="s">
        <v>42</v>
      </c>
      <c r="O2110" s="8" t="s">
        <v>65</v>
      </c>
      <c r="P2110" s="6" t="s">
        <v>44</v>
      </c>
      <c r="Q2110" s="8" t="s">
        <v>45</v>
      </c>
      <c r="R2110" s="10" t="s">
        <v>10267</v>
      </c>
      <c r="S2110" s="11"/>
      <c r="T2110" s="6"/>
      <c r="U2110" s="24" t="str">
        <f>HYPERLINK("https://media.infra-m.ru/2151/2151395/cover/2151395.jpg", "Обложка")</f>
        <v>Обложка</v>
      </c>
      <c r="V2110" s="24" t="str">
        <f>HYPERLINK("https://znanium.ru/catalog/product/1000561", "Ознакомиться")</f>
        <v>Ознакомиться</v>
      </c>
      <c r="W2110" s="8" t="s">
        <v>773</v>
      </c>
      <c r="X2110" s="6"/>
      <c r="Y2110" s="6"/>
      <c r="Z2110" s="6"/>
      <c r="AA2110" s="6" t="s">
        <v>76</v>
      </c>
      <c r="AB2110" s="8"/>
    </row>
    <row r="2111" spans="1:28" s="4" customFormat="1" ht="51.95" customHeight="1">
      <c r="A2111" s="5">
        <v>0</v>
      </c>
      <c r="B2111" s="6" t="s">
        <v>12097</v>
      </c>
      <c r="C2111" s="7">
        <v>3656.4</v>
      </c>
      <c r="D2111" s="8" t="s">
        <v>12098</v>
      </c>
      <c r="E2111" s="8" t="s">
        <v>12099</v>
      </c>
      <c r="F2111" s="8" t="s">
        <v>12100</v>
      </c>
      <c r="G2111" s="6" t="s">
        <v>81</v>
      </c>
      <c r="H2111" s="6" t="s">
        <v>2052</v>
      </c>
      <c r="I2111" s="8"/>
      <c r="J2111" s="9">
        <v>1</v>
      </c>
      <c r="K2111" s="9">
        <v>608</v>
      </c>
      <c r="L2111" s="9">
        <v>2025</v>
      </c>
      <c r="M2111" s="8" t="s">
        <v>12101</v>
      </c>
      <c r="N2111" s="8" t="s">
        <v>42</v>
      </c>
      <c r="O2111" s="8" t="s">
        <v>65</v>
      </c>
      <c r="P2111" s="6" t="s">
        <v>659</v>
      </c>
      <c r="Q2111" s="8" t="s">
        <v>45</v>
      </c>
      <c r="R2111" s="10" t="s">
        <v>5163</v>
      </c>
      <c r="S2111" s="11"/>
      <c r="T2111" s="6"/>
      <c r="U2111" s="24" t="str">
        <f>HYPERLINK("https://media.infra-m.ru/2169/2169279/cover/2169279.jpg", "Обложка")</f>
        <v>Обложка</v>
      </c>
      <c r="V2111" s="24" t="str">
        <f>HYPERLINK("https://znanium.ru/catalog/product/1937940", "Ознакомиться")</f>
        <v>Ознакомиться</v>
      </c>
      <c r="W2111" s="8" t="s">
        <v>846</v>
      </c>
      <c r="X2111" s="6"/>
      <c r="Y2111" s="6"/>
      <c r="Z2111" s="6"/>
      <c r="AA2111" s="6" t="s">
        <v>1556</v>
      </c>
      <c r="AB2111" s="8"/>
    </row>
    <row r="2112" spans="1:28" s="4" customFormat="1" ht="42" customHeight="1">
      <c r="A2112" s="5">
        <v>0</v>
      </c>
      <c r="B2112" s="6" t="s">
        <v>12102</v>
      </c>
      <c r="C2112" s="7">
        <v>1428</v>
      </c>
      <c r="D2112" s="8" t="s">
        <v>12103</v>
      </c>
      <c r="E2112" s="8" t="s">
        <v>12104</v>
      </c>
      <c r="F2112" s="8" t="s">
        <v>12105</v>
      </c>
      <c r="G2112" s="6" t="s">
        <v>132</v>
      </c>
      <c r="H2112" s="6" t="s">
        <v>39</v>
      </c>
      <c r="I2112" s="8" t="s">
        <v>40</v>
      </c>
      <c r="J2112" s="9">
        <v>1</v>
      </c>
      <c r="K2112" s="9">
        <v>251</v>
      </c>
      <c r="L2112" s="9">
        <v>2023</v>
      </c>
      <c r="M2112" s="8" t="s">
        <v>12106</v>
      </c>
      <c r="N2112" s="8" t="s">
        <v>42</v>
      </c>
      <c r="O2112" s="8" t="s">
        <v>65</v>
      </c>
      <c r="P2112" s="6" t="s">
        <v>44</v>
      </c>
      <c r="Q2112" s="8" t="s">
        <v>45</v>
      </c>
      <c r="R2112" s="10" t="s">
        <v>10810</v>
      </c>
      <c r="S2112" s="11"/>
      <c r="T2112" s="6"/>
      <c r="U2112" s="24" t="str">
        <f>HYPERLINK("https://media.infra-m.ru/1978/1978893/cover/1978893.jpg", "Обложка")</f>
        <v>Обложка</v>
      </c>
      <c r="V2112" s="24" t="str">
        <f>HYPERLINK("https://znanium.ru/catalog/product/1978893", "Ознакомиться")</f>
        <v>Ознакомиться</v>
      </c>
      <c r="W2112" s="8" t="s">
        <v>12045</v>
      </c>
      <c r="X2112" s="6"/>
      <c r="Y2112" s="6"/>
      <c r="Z2112" s="6"/>
      <c r="AA2112" s="6" t="s">
        <v>119</v>
      </c>
      <c r="AB2112" s="8"/>
    </row>
    <row r="2113" spans="1:28" s="4" customFormat="1" ht="42" customHeight="1">
      <c r="A2113" s="5">
        <v>0</v>
      </c>
      <c r="B2113" s="6" t="s">
        <v>12107</v>
      </c>
      <c r="C2113" s="7">
        <v>1152</v>
      </c>
      <c r="D2113" s="8" t="s">
        <v>12108</v>
      </c>
      <c r="E2113" s="8" t="s">
        <v>12109</v>
      </c>
      <c r="F2113" s="8" t="s">
        <v>12110</v>
      </c>
      <c r="G2113" s="6" t="s">
        <v>81</v>
      </c>
      <c r="H2113" s="6" t="s">
        <v>39</v>
      </c>
      <c r="I2113" s="8" t="s">
        <v>40</v>
      </c>
      <c r="J2113" s="9">
        <v>1</v>
      </c>
      <c r="K2113" s="9">
        <v>174</v>
      </c>
      <c r="L2113" s="9">
        <v>2026</v>
      </c>
      <c r="M2113" s="8" t="s">
        <v>12111</v>
      </c>
      <c r="N2113" s="8" t="s">
        <v>42</v>
      </c>
      <c r="O2113" s="8" t="s">
        <v>65</v>
      </c>
      <c r="P2113" s="6" t="s">
        <v>44</v>
      </c>
      <c r="Q2113" s="8" t="s">
        <v>45</v>
      </c>
      <c r="R2113" s="10" t="s">
        <v>10267</v>
      </c>
      <c r="S2113" s="11"/>
      <c r="T2113" s="6"/>
      <c r="U2113" s="24" t="str">
        <f>HYPERLINK("https://media.infra-m.ru/2227/2227192/cover/2227192.jpg", "Обложка")</f>
        <v>Обложка</v>
      </c>
      <c r="V2113" s="24" t="str">
        <f>HYPERLINK("https://znanium.ru/catalog/product/2227192", "Ознакомиться")</f>
        <v>Ознакомиться</v>
      </c>
      <c r="W2113" s="8"/>
      <c r="X2113" s="6"/>
      <c r="Y2113" s="6"/>
      <c r="Z2113" s="6"/>
      <c r="AA2113" s="6" t="s">
        <v>369</v>
      </c>
      <c r="AB2113" s="8"/>
    </row>
    <row r="2114" spans="1:28" s="4" customFormat="1" ht="44.1" customHeight="1">
      <c r="A2114" s="5">
        <v>0</v>
      </c>
      <c r="B2114" s="6" t="s">
        <v>12112</v>
      </c>
      <c r="C2114" s="7">
        <v>1536</v>
      </c>
      <c r="D2114" s="8" t="s">
        <v>12113</v>
      </c>
      <c r="E2114" s="8" t="s">
        <v>12114</v>
      </c>
      <c r="F2114" s="8" t="s">
        <v>12115</v>
      </c>
      <c r="G2114" s="6" t="s">
        <v>132</v>
      </c>
      <c r="H2114" s="6" t="s">
        <v>39</v>
      </c>
      <c r="I2114" s="8" t="s">
        <v>40</v>
      </c>
      <c r="J2114" s="9">
        <v>1</v>
      </c>
      <c r="K2114" s="9">
        <v>254</v>
      </c>
      <c r="L2114" s="9">
        <v>2024</v>
      </c>
      <c r="M2114" s="8" t="s">
        <v>12116</v>
      </c>
      <c r="N2114" s="8" t="s">
        <v>42</v>
      </c>
      <c r="O2114" s="8" t="s">
        <v>65</v>
      </c>
      <c r="P2114" s="6" t="s">
        <v>44</v>
      </c>
      <c r="Q2114" s="8" t="s">
        <v>45</v>
      </c>
      <c r="R2114" s="10" t="s">
        <v>12117</v>
      </c>
      <c r="S2114" s="11"/>
      <c r="T2114" s="6"/>
      <c r="U2114" s="24" t="str">
        <f>HYPERLINK("https://media.infra-m.ru/2133/2133680/cover/2133680.jpg", "Обложка")</f>
        <v>Обложка</v>
      </c>
      <c r="V2114" s="24" t="str">
        <f>HYPERLINK("https://znanium.ru/catalog/product/2133680", "Ознакомиться")</f>
        <v>Ознакомиться</v>
      </c>
      <c r="W2114" s="8" t="s">
        <v>361</v>
      </c>
      <c r="X2114" s="6"/>
      <c r="Y2114" s="6"/>
      <c r="Z2114" s="6"/>
      <c r="AA2114" s="6" t="s">
        <v>58</v>
      </c>
      <c r="AB2114" s="8"/>
    </row>
    <row r="2115" spans="1:28" s="4" customFormat="1" ht="51.95" customHeight="1">
      <c r="A2115" s="5">
        <v>0</v>
      </c>
      <c r="B2115" s="6" t="s">
        <v>12118</v>
      </c>
      <c r="C2115" s="7">
        <v>1012.8</v>
      </c>
      <c r="D2115" s="8" t="s">
        <v>12119</v>
      </c>
      <c r="E2115" s="8" t="s">
        <v>12120</v>
      </c>
      <c r="F2115" s="8" t="s">
        <v>12121</v>
      </c>
      <c r="G2115" s="6" t="s">
        <v>38</v>
      </c>
      <c r="H2115" s="6" t="s">
        <v>39</v>
      </c>
      <c r="I2115" s="8" t="s">
        <v>1803</v>
      </c>
      <c r="J2115" s="9">
        <v>1</v>
      </c>
      <c r="K2115" s="9">
        <v>186</v>
      </c>
      <c r="L2115" s="9">
        <v>2023</v>
      </c>
      <c r="M2115" s="8" t="s">
        <v>12122</v>
      </c>
      <c r="N2115" s="8" t="s">
        <v>42</v>
      </c>
      <c r="O2115" s="8" t="s">
        <v>189</v>
      </c>
      <c r="P2115" s="6" t="s">
        <v>44</v>
      </c>
      <c r="Q2115" s="8" t="s">
        <v>45</v>
      </c>
      <c r="R2115" s="10" t="s">
        <v>12123</v>
      </c>
      <c r="S2115" s="11"/>
      <c r="T2115" s="6"/>
      <c r="U2115" s="24" t="str">
        <f>HYPERLINK("https://media.infra-m.ru/2021/2021406/cover/2021406.jpg", "Обложка")</f>
        <v>Обложка</v>
      </c>
      <c r="V2115" s="24" t="str">
        <f>HYPERLINK("https://znanium.ru/catalog/product/978356", "Ознакомиться")</f>
        <v>Ознакомиться</v>
      </c>
      <c r="W2115" s="8" t="s">
        <v>12124</v>
      </c>
      <c r="X2115" s="6"/>
      <c r="Y2115" s="6"/>
      <c r="Z2115" s="6"/>
      <c r="AA2115" s="6" t="s">
        <v>76</v>
      </c>
      <c r="AB2115" s="8"/>
    </row>
    <row r="2116" spans="1:28" s="4" customFormat="1" ht="44.1" customHeight="1">
      <c r="A2116" s="5">
        <v>0</v>
      </c>
      <c r="B2116" s="6" t="s">
        <v>12125</v>
      </c>
      <c r="C2116" s="7">
        <v>1092</v>
      </c>
      <c r="D2116" s="8" t="s">
        <v>12126</v>
      </c>
      <c r="E2116" s="8" t="s">
        <v>12127</v>
      </c>
      <c r="F2116" s="8" t="s">
        <v>12128</v>
      </c>
      <c r="G2116" s="6" t="s">
        <v>38</v>
      </c>
      <c r="H2116" s="6" t="s">
        <v>39</v>
      </c>
      <c r="I2116" s="8" t="s">
        <v>40</v>
      </c>
      <c r="J2116" s="9">
        <v>1</v>
      </c>
      <c r="K2116" s="9">
        <v>164</v>
      </c>
      <c r="L2116" s="9">
        <v>2024</v>
      </c>
      <c r="M2116" s="8" t="s">
        <v>12129</v>
      </c>
      <c r="N2116" s="8" t="s">
        <v>42</v>
      </c>
      <c r="O2116" s="8" t="s">
        <v>101</v>
      </c>
      <c r="P2116" s="6" t="s">
        <v>44</v>
      </c>
      <c r="Q2116" s="8" t="s">
        <v>45</v>
      </c>
      <c r="R2116" s="10" t="s">
        <v>11783</v>
      </c>
      <c r="S2116" s="11"/>
      <c r="T2116" s="6"/>
      <c r="U2116" s="24" t="str">
        <f>HYPERLINK("https://media.infra-m.ru/2157/2157617/cover/2157617.jpg", "Обложка")</f>
        <v>Обложка</v>
      </c>
      <c r="V2116" s="24" t="str">
        <f>HYPERLINK("https://znanium.ru/catalog/product/2157617", "Ознакомиться")</f>
        <v>Ознакомиться</v>
      </c>
      <c r="W2116" s="8" t="s">
        <v>103</v>
      </c>
      <c r="X2116" s="6" t="s">
        <v>3436</v>
      </c>
      <c r="Y2116" s="6"/>
      <c r="Z2116" s="6"/>
      <c r="AA2116" s="6" t="s">
        <v>58</v>
      </c>
      <c r="AB2116" s="8"/>
    </row>
    <row r="2117" spans="1:28" s="4" customFormat="1" ht="51.95" customHeight="1">
      <c r="A2117" s="5">
        <v>0</v>
      </c>
      <c r="B2117" s="6" t="s">
        <v>12130</v>
      </c>
      <c r="C2117" s="7">
        <v>1144.8</v>
      </c>
      <c r="D2117" s="8" t="s">
        <v>12131</v>
      </c>
      <c r="E2117" s="8" t="s">
        <v>12132</v>
      </c>
      <c r="F2117" s="8" t="s">
        <v>12133</v>
      </c>
      <c r="G2117" s="6" t="s">
        <v>38</v>
      </c>
      <c r="H2117" s="6" t="s">
        <v>39</v>
      </c>
      <c r="I2117" s="8" t="s">
        <v>40</v>
      </c>
      <c r="J2117" s="9">
        <v>1</v>
      </c>
      <c r="K2117" s="9">
        <v>183</v>
      </c>
      <c r="L2117" s="9">
        <v>2025</v>
      </c>
      <c r="M2117" s="8" t="s">
        <v>12134</v>
      </c>
      <c r="N2117" s="8" t="s">
        <v>229</v>
      </c>
      <c r="O2117" s="8" t="s">
        <v>230</v>
      </c>
      <c r="P2117" s="6" t="s">
        <v>44</v>
      </c>
      <c r="Q2117" s="8" t="s">
        <v>45</v>
      </c>
      <c r="R2117" s="10" t="s">
        <v>12135</v>
      </c>
      <c r="S2117" s="11"/>
      <c r="T2117" s="6"/>
      <c r="U2117" s="24" t="str">
        <f>HYPERLINK("https://media.infra-m.ru/2209/2209478/cover/2209478.jpg", "Обложка")</f>
        <v>Обложка</v>
      </c>
      <c r="V2117" s="24" t="str">
        <f>HYPERLINK("https://znanium.ru/catalog/product/1971849", "Ознакомиться")</f>
        <v>Ознакомиться</v>
      </c>
      <c r="W2117" s="8" t="s">
        <v>1735</v>
      </c>
      <c r="X2117" s="6"/>
      <c r="Y2117" s="6"/>
      <c r="Z2117" s="6"/>
      <c r="AA2117" s="6" t="s">
        <v>119</v>
      </c>
      <c r="AB2117" s="8"/>
    </row>
    <row r="2118" spans="1:28" s="4" customFormat="1" ht="51.95" customHeight="1">
      <c r="A2118" s="5">
        <v>0</v>
      </c>
      <c r="B2118" s="6" t="s">
        <v>12136</v>
      </c>
      <c r="C2118" s="7">
        <v>3720</v>
      </c>
      <c r="D2118" s="8" t="s">
        <v>12137</v>
      </c>
      <c r="E2118" s="8" t="s">
        <v>12138</v>
      </c>
      <c r="F2118" s="8" t="s">
        <v>1675</v>
      </c>
      <c r="G2118" s="6" t="s">
        <v>132</v>
      </c>
      <c r="H2118" s="6" t="s">
        <v>39</v>
      </c>
      <c r="I2118" s="8" t="s">
        <v>828</v>
      </c>
      <c r="J2118" s="9">
        <v>1</v>
      </c>
      <c r="K2118" s="9">
        <v>630</v>
      </c>
      <c r="L2118" s="9">
        <v>2025</v>
      </c>
      <c r="M2118" s="8" t="s">
        <v>12139</v>
      </c>
      <c r="N2118" s="8" t="s">
        <v>54</v>
      </c>
      <c r="O2118" s="8" t="s">
        <v>91</v>
      </c>
      <c r="P2118" s="6" t="s">
        <v>659</v>
      </c>
      <c r="Q2118" s="8" t="s">
        <v>45</v>
      </c>
      <c r="R2118" s="10" t="s">
        <v>12140</v>
      </c>
      <c r="S2118" s="11"/>
      <c r="T2118" s="6"/>
      <c r="U2118" s="24" t="str">
        <f>HYPERLINK("https://media.infra-m.ru/2161/2161245/cover/2161245.jpg", "Обложка")</f>
        <v>Обложка</v>
      </c>
      <c r="V2118" s="24" t="str">
        <f>HYPERLINK("https://znanium.ru/catalog/product/2161245", "Ознакомиться")</f>
        <v>Ознакомиться</v>
      </c>
      <c r="W2118" s="8" t="s">
        <v>1678</v>
      </c>
      <c r="X2118" s="6"/>
      <c r="Y2118" s="6"/>
      <c r="Z2118" s="6"/>
      <c r="AA2118" s="6" t="s">
        <v>369</v>
      </c>
      <c r="AB2118" s="8" t="s">
        <v>200</v>
      </c>
    </row>
    <row r="2119" spans="1:28" s="4" customFormat="1" ht="44.1" customHeight="1">
      <c r="A2119" s="5">
        <v>0</v>
      </c>
      <c r="B2119" s="6" t="s">
        <v>12141</v>
      </c>
      <c r="C2119" s="7">
        <v>1260</v>
      </c>
      <c r="D2119" s="8" t="s">
        <v>12142</v>
      </c>
      <c r="E2119" s="8" t="s">
        <v>12143</v>
      </c>
      <c r="F2119" s="8" t="s">
        <v>12144</v>
      </c>
      <c r="G2119" s="6" t="s">
        <v>81</v>
      </c>
      <c r="H2119" s="6" t="s">
        <v>39</v>
      </c>
      <c r="I2119" s="8" t="s">
        <v>40</v>
      </c>
      <c r="J2119" s="9">
        <v>1</v>
      </c>
      <c r="K2119" s="9">
        <v>233</v>
      </c>
      <c r="L2119" s="9">
        <v>2023</v>
      </c>
      <c r="M2119" s="8" t="s">
        <v>12145</v>
      </c>
      <c r="N2119" s="8" t="s">
        <v>42</v>
      </c>
      <c r="O2119" s="8" t="s">
        <v>1002</v>
      </c>
      <c r="P2119" s="6" t="s">
        <v>44</v>
      </c>
      <c r="Q2119" s="8" t="s">
        <v>45</v>
      </c>
      <c r="R2119" s="10" t="s">
        <v>12146</v>
      </c>
      <c r="S2119" s="11"/>
      <c r="T2119" s="6"/>
      <c r="U2119" s="24" t="str">
        <f>HYPERLINK("https://media.infra-m.ru/1938/1938032/cover/1938032.jpg", "Обложка")</f>
        <v>Обложка</v>
      </c>
      <c r="V2119" s="24" t="str">
        <f>HYPERLINK("https://znanium.ru/catalog/product/1938032", "Ознакомиться")</f>
        <v>Ознакомиться</v>
      </c>
      <c r="W2119" s="8" t="s">
        <v>6799</v>
      </c>
      <c r="X2119" s="6"/>
      <c r="Y2119" s="6"/>
      <c r="Z2119" s="6"/>
      <c r="AA2119" s="6" t="s">
        <v>68</v>
      </c>
      <c r="AB2119" s="8"/>
    </row>
    <row r="2120" spans="1:28" s="4" customFormat="1" ht="51.95" customHeight="1">
      <c r="A2120" s="5">
        <v>0</v>
      </c>
      <c r="B2120" s="6" t="s">
        <v>12147</v>
      </c>
      <c r="C2120" s="13">
        <v>952.8</v>
      </c>
      <c r="D2120" s="8" t="s">
        <v>12148</v>
      </c>
      <c r="E2120" s="8" t="s">
        <v>12149</v>
      </c>
      <c r="F2120" s="8" t="s">
        <v>12150</v>
      </c>
      <c r="G2120" s="6" t="s">
        <v>38</v>
      </c>
      <c r="H2120" s="6" t="s">
        <v>99</v>
      </c>
      <c r="I2120" s="8"/>
      <c r="J2120" s="9">
        <v>1</v>
      </c>
      <c r="K2120" s="9">
        <v>176</v>
      </c>
      <c r="L2120" s="9">
        <v>2024</v>
      </c>
      <c r="M2120" s="8" t="s">
        <v>12151</v>
      </c>
      <c r="N2120" s="8" t="s">
        <v>42</v>
      </c>
      <c r="O2120" s="8" t="s">
        <v>101</v>
      </c>
      <c r="P2120" s="6" t="s">
        <v>44</v>
      </c>
      <c r="Q2120" s="8" t="s">
        <v>45</v>
      </c>
      <c r="R2120" s="10" t="s">
        <v>10791</v>
      </c>
      <c r="S2120" s="11"/>
      <c r="T2120" s="6"/>
      <c r="U2120" s="24" t="str">
        <f>HYPERLINK("https://media.infra-m.ru/1981/1981610/cover/1981610.jpg", "Обложка")</f>
        <v>Обложка</v>
      </c>
      <c r="V2120" s="24" t="str">
        <f>HYPERLINK("https://znanium.ru/catalog/product/1708654", "Ознакомиться")</f>
        <v>Ознакомиться</v>
      </c>
      <c r="W2120" s="8" t="s">
        <v>346</v>
      </c>
      <c r="X2120" s="6"/>
      <c r="Y2120" s="6"/>
      <c r="Z2120" s="6"/>
      <c r="AA2120" s="6" t="s">
        <v>290</v>
      </c>
      <c r="AB2120" s="8"/>
    </row>
    <row r="2121" spans="1:28" s="4" customFormat="1" ht="51.95" customHeight="1">
      <c r="A2121" s="5">
        <v>0</v>
      </c>
      <c r="B2121" s="6" t="s">
        <v>12152</v>
      </c>
      <c r="C2121" s="7">
        <v>1320</v>
      </c>
      <c r="D2121" s="8" t="s">
        <v>12153</v>
      </c>
      <c r="E2121" s="8" t="s">
        <v>12154</v>
      </c>
      <c r="F2121" s="8" t="s">
        <v>4526</v>
      </c>
      <c r="G2121" s="6" t="s">
        <v>38</v>
      </c>
      <c r="H2121" s="6" t="s">
        <v>39</v>
      </c>
      <c r="I2121" s="8" t="s">
        <v>40</v>
      </c>
      <c r="J2121" s="9">
        <v>1</v>
      </c>
      <c r="K2121" s="9">
        <v>170</v>
      </c>
      <c r="L2121" s="9">
        <v>2026</v>
      </c>
      <c r="M2121" s="8" t="s">
        <v>12155</v>
      </c>
      <c r="N2121" s="8" t="s">
        <v>220</v>
      </c>
      <c r="O2121" s="8" t="s">
        <v>296</v>
      </c>
      <c r="P2121" s="6" t="s">
        <v>44</v>
      </c>
      <c r="Q2121" s="8" t="s">
        <v>45</v>
      </c>
      <c r="R2121" s="10" t="s">
        <v>12156</v>
      </c>
      <c r="S2121" s="11"/>
      <c r="T2121" s="6"/>
      <c r="U2121" s="24" t="str">
        <f>HYPERLINK("https://media.infra-m.ru/2207/2207978/cover/2207978.jpg", "Обложка")</f>
        <v>Обложка</v>
      </c>
      <c r="V2121" s="24" t="str">
        <f>HYPERLINK("https://znanium.ru/catalog/product/2207978", "Ознакомиться")</f>
        <v>Ознакомиться</v>
      </c>
      <c r="W2121" s="8" t="s">
        <v>289</v>
      </c>
      <c r="X2121" s="6" t="s">
        <v>832</v>
      </c>
      <c r="Y2121" s="6"/>
      <c r="Z2121" s="6"/>
      <c r="AA2121" s="6" t="s">
        <v>833</v>
      </c>
      <c r="AB2121" s="8"/>
    </row>
    <row r="2122" spans="1:28" s="4" customFormat="1" ht="33" customHeight="1">
      <c r="A2122" s="5">
        <v>0</v>
      </c>
      <c r="B2122" s="6" t="s">
        <v>12157</v>
      </c>
      <c r="C2122" s="7">
        <v>1727.9</v>
      </c>
      <c r="D2122" s="8" t="s">
        <v>12158</v>
      </c>
      <c r="E2122" s="8" t="s">
        <v>12159</v>
      </c>
      <c r="F2122" s="8" t="s">
        <v>12160</v>
      </c>
      <c r="G2122" s="6" t="s">
        <v>132</v>
      </c>
      <c r="H2122" s="6" t="s">
        <v>99</v>
      </c>
      <c r="I2122" s="8"/>
      <c r="J2122" s="9">
        <v>1</v>
      </c>
      <c r="K2122" s="9">
        <v>448</v>
      </c>
      <c r="L2122" s="9">
        <v>2019</v>
      </c>
      <c r="M2122" s="8" t="s">
        <v>12161</v>
      </c>
      <c r="N2122" s="8" t="s">
        <v>42</v>
      </c>
      <c r="O2122" s="8" t="s">
        <v>101</v>
      </c>
      <c r="P2122" s="6" t="s">
        <v>286</v>
      </c>
      <c r="Q2122" s="8" t="s">
        <v>45</v>
      </c>
      <c r="R2122" s="10" t="s">
        <v>12162</v>
      </c>
      <c r="S2122" s="11"/>
      <c r="T2122" s="6"/>
      <c r="U2122" s="12"/>
      <c r="V2122" s="24" t="str">
        <f>HYPERLINK("https://znanium.ru/catalog/product/2223989", "Ознакомиться")</f>
        <v>Ознакомиться</v>
      </c>
      <c r="W2122" s="8"/>
      <c r="X2122" s="6"/>
      <c r="Y2122" s="6"/>
      <c r="Z2122" s="6"/>
      <c r="AA2122" s="6" t="s">
        <v>12163</v>
      </c>
      <c r="AB2122" s="8"/>
    </row>
    <row r="2123" spans="1:28" s="4" customFormat="1" ht="42" customHeight="1">
      <c r="A2123" s="5">
        <v>0</v>
      </c>
      <c r="B2123" s="6" t="s">
        <v>12164</v>
      </c>
      <c r="C2123" s="7">
        <v>2952</v>
      </c>
      <c r="D2123" s="8" t="s">
        <v>12165</v>
      </c>
      <c r="E2123" s="8" t="s">
        <v>12166</v>
      </c>
      <c r="F2123" s="8" t="s">
        <v>12167</v>
      </c>
      <c r="G2123" s="6" t="s">
        <v>132</v>
      </c>
      <c r="H2123" s="6" t="s">
        <v>99</v>
      </c>
      <c r="I2123" s="8"/>
      <c r="J2123" s="9">
        <v>1</v>
      </c>
      <c r="K2123" s="9">
        <v>472</v>
      </c>
      <c r="L2123" s="9">
        <v>2025</v>
      </c>
      <c r="M2123" s="8" t="s">
        <v>12168</v>
      </c>
      <c r="N2123" s="8" t="s">
        <v>42</v>
      </c>
      <c r="O2123" s="8" t="s">
        <v>101</v>
      </c>
      <c r="P2123" s="6" t="s">
        <v>286</v>
      </c>
      <c r="Q2123" s="8" t="s">
        <v>45</v>
      </c>
      <c r="R2123" s="10" t="s">
        <v>12162</v>
      </c>
      <c r="S2123" s="11"/>
      <c r="T2123" s="6"/>
      <c r="U2123" s="24" t="str">
        <f>HYPERLINK("https://media.infra-m.ru/2197/2197866/cover/2197866.jpg", "Обложка")</f>
        <v>Обложка</v>
      </c>
      <c r="V2123" s="24" t="str">
        <f>HYPERLINK("https://znanium.ru/catalog/product/2223989", "Ознакомиться")</f>
        <v>Ознакомиться</v>
      </c>
      <c r="W2123" s="8"/>
      <c r="X2123" s="6"/>
      <c r="Y2123" s="6"/>
      <c r="Z2123" s="6"/>
      <c r="AA2123" s="6" t="s">
        <v>12169</v>
      </c>
      <c r="AB2123" s="8"/>
    </row>
    <row r="2124" spans="1:28" s="4" customFormat="1" ht="44.1" customHeight="1">
      <c r="A2124" s="5">
        <v>0</v>
      </c>
      <c r="B2124" s="6" t="s">
        <v>12170</v>
      </c>
      <c r="C2124" s="7">
        <v>3384</v>
      </c>
      <c r="D2124" s="8" t="s">
        <v>12171</v>
      </c>
      <c r="E2124" s="8" t="s">
        <v>12172</v>
      </c>
      <c r="F2124" s="8" t="s">
        <v>12173</v>
      </c>
      <c r="G2124" s="6" t="s">
        <v>132</v>
      </c>
      <c r="H2124" s="6" t="s">
        <v>99</v>
      </c>
      <c r="I2124" s="8"/>
      <c r="J2124" s="9">
        <v>1</v>
      </c>
      <c r="K2124" s="9">
        <v>512</v>
      </c>
      <c r="L2124" s="9">
        <v>2026</v>
      </c>
      <c r="M2124" s="8" t="s">
        <v>12174</v>
      </c>
      <c r="N2124" s="8" t="s">
        <v>42</v>
      </c>
      <c r="O2124" s="8" t="s">
        <v>101</v>
      </c>
      <c r="P2124" s="6" t="s">
        <v>286</v>
      </c>
      <c r="Q2124" s="8" t="s">
        <v>45</v>
      </c>
      <c r="R2124" s="10" t="s">
        <v>12162</v>
      </c>
      <c r="S2124" s="11"/>
      <c r="T2124" s="6"/>
      <c r="U2124" s="24" t="str">
        <f>HYPERLINK("https://media.infra-m.ru/2223/2223989/cover/2223989.jpg", "Обложка")</f>
        <v>Обложка</v>
      </c>
      <c r="V2124" s="24" t="str">
        <f>HYPERLINK("https://znanium.ru/catalog/product/2223989", "Ознакомиться")</f>
        <v>Ознакомиться</v>
      </c>
      <c r="W2124" s="8" t="s">
        <v>2281</v>
      </c>
      <c r="X2124" s="6"/>
      <c r="Y2124" s="6"/>
      <c r="Z2124" s="6"/>
      <c r="AA2124" s="6" t="s">
        <v>12175</v>
      </c>
      <c r="AB2124" s="8"/>
    </row>
    <row r="2125" spans="1:28" s="4" customFormat="1" ht="51.95" customHeight="1">
      <c r="A2125" s="5">
        <v>0</v>
      </c>
      <c r="B2125" s="6" t="s">
        <v>12176</v>
      </c>
      <c r="C2125" s="7">
        <v>1072.8</v>
      </c>
      <c r="D2125" s="8" t="s">
        <v>12177</v>
      </c>
      <c r="E2125" s="8" t="s">
        <v>12178</v>
      </c>
      <c r="F2125" s="8" t="s">
        <v>12179</v>
      </c>
      <c r="G2125" s="6" t="s">
        <v>81</v>
      </c>
      <c r="H2125" s="6" t="s">
        <v>99</v>
      </c>
      <c r="I2125" s="8"/>
      <c r="J2125" s="9">
        <v>1</v>
      </c>
      <c r="K2125" s="9">
        <v>160</v>
      </c>
      <c r="L2125" s="9">
        <v>2025</v>
      </c>
      <c r="M2125" s="8" t="s">
        <v>12180</v>
      </c>
      <c r="N2125" s="8" t="s">
        <v>42</v>
      </c>
      <c r="O2125" s="8" t="s">
        <v>101</v>
      </c>
      <c r="P2125" s="6" t="s">
        <v>286</v>
      </c>
      <c r="Q2125" s="8" t="s">
        <v>45</v>
      </c>
      <c r="R2125" s="10" t="s">
        <v>12181</v>
      </c>
      <c r="S2125" s="11"/>
      <c r="T2125" s="6"/>
      <c r="U2125" s="24" t="str">
        <f>HYPERLINK("https://media.infra-m.ru/2186/2186920/cover/2186920.jpg", "Обложка")</f>
        <v>Обложка</v>
      </c>
      <c r="V2125" s="24" t="str">
        <f>HYPERLINK("https://znanium.ru/catalog/product/2219517", "Ознакомиться")</f>
        <v>Ознакомиться</v>
      </c>
      <c r="W2125" s="8"/>
      <c r="X2125" s="6"/>
      <c r="Y2125" s="6"/>
      <c r="Z2125" s="6"/>
      <c r="AA2125" s="6" t="s">
        <v>177</v>
      </c>
      <c r="AB2125" s="8"/>
    </row>
    <row r="2126" spans="1:28" s="4" customFormat="1" ht="51.95" customHeight="1">
      <c r="A2126" s="5">
        <v>0</v>
      </c>
      <c r="B2126" s="6" t="s">
        <v>12182</v>
      </c>
      <c r="C2126" s="7">
        <v>1092</v>
      </c>
      <c r="D2126" s="8" t="s">
        <v>12183</v>
      </c>
      <c r="E2126" s="8" t="s">
        <v>12184</v>
      </c>
      <c r="F2126" s="8" t="s">
        <v>12185</v>
      </c>
      <c r="G2126" s="6" t="s">
        <v>81</v>
      </c>
      <c r="H2126" s="6" t="s">
        <v>99</v>
      </c>
      <c r="I2126" s="8"/>
      <c r="J2126" s="9">
        <v>1</v>
      </c>
      <c r="K2126" s="9">
        <v>164</v>
      </c>
      <c r="L2126" s="9">
        <v>2026</v>
      </c>
      <c r="M2126" s="8" t="s">
        <v>12186</v>
      </c>
      <c r="N2126" s="8" t="s">
        <v>42</v>
      </c>
      <c r="O2126" s="8" t="s">
        <v>101</v>
      </c>
      <c r="P2126" s="6" t="s">
        <v>286</v>
      </c>
      <c r="Q2126" s="8" t="s">
        <v>45</v>
      </c>
      <c r="R2126" s="10" t="s">
        <v>12181</v>
      </c>
      <c r="S2126" s="11"/>
      <c r="T2126" s="6"/>
      <c r="U2126" s="24" t="str">
        <f>HYPERLINK("https://media.infra-m.ru/2219/2219517/cover/2219517.jpg", "Обложка")</f>
        <v>Обложка</v>
      </c>
      <c r="V2126" s="24" t="str">
        <f>HYPERLINK("https://znanium.ru/catalog/product/2219517", "Ознакомиться")</f>
        <v>Ознакомиться</v>
      </c>
      <c r="W2126" s="8" t="s">
        <v>2281</v>
      </c>
      <c r="X2126" s="6" t="s">
        <v>158</v>
      </c>
      <c r="Y2126" s="6"/>
      <c r="Z2126" s="6"/>
      <c r="AA2126" s="6" t="s">
        <v>2441</v>
      </c>
      <c r="AB2126" s="8"/>
    </row>
    <row r="2127" spans="1:28" s="4" customFormat="1" ht="51.95" customHeight="1">
      <c r="A2127" s="5">
        <v>0</v>
      </c>
      <c r="B2127" s="6" t="s">
        <v>12187</v>
      </c>
      <c r="C2127" s="13">
        <v>516</v>
      </c>
      <c r="D2127" s="8" t="s">
        <v>12188</v>
      </c>
      <c r="E2127" s="8" t="s">
        <v>12189</v>
      </c>
      <c r="F2127" s="8" t="s">
        <v>12179</v>
      </c>
      <c r="G2127" s="6" t="s">
        <v>38</v>
      </c>
      <c r="H2127" s="6" t="s">
        <v>99</v>
      </c>
      <c r="I2127" s="8"/>
      <c r="J2127" s="9">
        <v>1</v>
      </c>
      <c r="K2127" s="9">
        <v>128</v>
      </c>
      <c r="L2127" s="9">
        <v>2019</v>
      </c>
      <c r="M2127" s="8" t="s">
        <v>12190</v>
      </c>
      <c r="N2127" s="8" t="s">
        <v>42</v>
      </c>
      <c r="O2127" s="8" t="s">
        <v>101</v>
      </c>
      <c r="P2127" s="6" t="s">
        <v>286</v>
      </c>
      <c r="Q2127" s="8" t="s">
        <v>1152</v>
      </c>
      <c r="R2127" s="10" t="s">
        <v>12181</v>
      </c>
      <c r="S2127" s="11"/>
      <c r="T2127" s="6"/>
      <c r="U2127" s="24" t="str">
        <f>HYPERLINK("https://media.infra-m.ru/0995/0995303/cover/995303.jpg", "Обложка")</f>
        <v>Обложка</v>
      </c>
      <c r="V2127" s="24" t="str">
        <f>HYPERLINK("https://znanium.ru/catalog/product/2219517", "Ознакомиться")</f>
        <v>Ознакомиться</v>
      </c>
      <c r="W2127" s="8" t="s">
        <v>2281</v>
      </c>
      <c r="X2127" s="6"/>
      <c r="Y2127" s="6"/>
      <c r="Z2127" s="6"/>
      <c r="AA2127" s="6" t="s">
        <v>339</v>
      </c>
      <c r="AB2127" s="8"/>
    </row>
    <row r="2128" spans="1:28" s="4" customFormat="1" ht="44.1" customHeight="1">
      <c r="A2128" s="5">
        <v>0</v>
      </c>
      <c r="B2128" s="6" t="s">
        <v>12191</v>
      </c>
      <c r="C2128" s="7">
        <v>2592</v>
      </c>
      <c r="D2128" s="8" t="s">
        <v>12192</v>
      </c>
      <c r="E2128" s="8" t="s">
        <v>12193</v>
      </c>
      <c r="F2128" s="8" t="s">
        <v>12194</v>
      </c>
      <c r="G2128" s="6" t="s">
        <v>81</v>
      </c>
      <c r="H2128" s="6" t="s">
        <v>99</v>
      </c>
      <c r="I2128" s="8"/>
      <c r="J2128" s="9">
        <v>1</v>
      </c>
      <c r="K2128" s="9">
        <v>480</v>
      </c>
      <c r="L2128" s="9">
        <v>2023</v>
      </c>
      <c r="M2128" s="8" t="s">
        <v>12195</v>
      </c>
      <c r="N2128" s="8" t="s">
        <v>42</v>
      </c>
      <c r="O2128" s="8" t="s">
        <v>101</v>
      </c>
      <c r="P2128" s="6" t="s">
        <v>286</v>
      </c>
      <c r="Q2128" s="8" t="s">
        <v>45</v>
      </c>
      <c r="R2128" s="10" t="s">
        <v>2700</v>
      </c>
      <c r="S2128" s="11"/>
      <c r="T2128" s="6"/>
      <c r="U2128" s="24" t="str">
        <f>HYPERLINK("https://media.infra-m.ru/1895/1895986/cover/1895986.jpg", "Обложка")</f>
        <v>Обложка</v>
      </c>
      <c r="V2128" s="24" t="str">
        <f>HYPERLINK("https://znanium.ru/catalog/product/2211214", "Ознакомиться")</f>
        <v>Ознакомиться</v>
      </c>
      <c r="W2128" s="8" t="s">
        <v>2281</v>
      </c>
      <c r="X2128" s="6"/>
      <c r="Y2128" s="6"/>
      <c r="Z2128" s="6"/>
      <c r="AA2128" s="6" t="s">
        <v>424</v>
      </c>
      <c r="AB2128" s="8"/>
    </row>
    <row r="2129" spans="1:28" s="4" customFormat="1" ht="44.1" customHeight="1">
      <c r="A2129" s="5">
        <v>0</v>
      </c>
      <c r="B2129" s="6" t="s">
        <v>12196</v>
      </c>
      <c r="C2129" s="7">
        <v>1560</v>
      </c>
      <c r="D2129" s="8" t="s">
        <v>12197</v>
      </c>
      <c r="E2129" s="8" t="s">
        <v>12198</v>
      </c>
      <c r="F2129" s="8" t="s">
        <v>12194</v>
      </c>
      <c r="G2129" s="6" t="s">
        <v>81</v>
      </c>
      <c r="H2129" s="6" t="s">
        <v>99</v>
      </c>
      <c r="I2129" s="8"/>
      <c r="J2129" s="9">
        <v>1</v>
      </c>
      <c r="K2129" s="9">
        <v>360</v>
      </c>
      <c r="L2129" s="9">
        <v>2021</v>
      </c>
      <c r="M2129" s="8" t="s">
        <v>12199</v>
      </c>
      <c r="N2129" s="8" t="s">
        <v>42</v>
      </c>
      <c r="O2129" s="8" t="s">
        <v>101</v>
      </c>
      <c r="P2129" s="6" t="s">
        <v>286</v>
      </c>
      <c r="Q2129" s="8" t="s">
        <v>45</v>
      </c>
      <c r="R2129" s="10" t="s">
        <v>2700</v>
      </c>
      <c r="S2129" s="11"/>
      <c r="T2129" s="6"/>
      <c r="U2129" s="24" t="str">
        <f>HYPERLINK("https://media.infra-m.ru/1248/1248241/cover/1248241.jpg", "Обложка")</f>
        <v>Обложка</v>
      </c>
      <c r="V2129" s="24" t="str">
        <f>HYPERLINK("https://znanium.ru/catalog/product/2211214", "Ознакомиться")</f>
        <v>Ознакомиться</v>
      </c>
      <c r="W2129" s="8" t="s">
        <v>2281</v>
      </c>
      <c r="X2129" s="6"/>
      <c r="Y2129" s="6"/>
      <c r="Z2129" s="6"/>
      <c r="AA2129" s="6" t="s">
        <v>168</v>
      </c>
      <c r="AB2129" s="8"/>
    </row>
    <row r="2130" spans="1:28" s="4" customFormat="1" ht="44.1" customHeight="1">
      <c r="A2130" s="5">
        <v>0</v>
      </c>
      <c r="B2130" s="6" t="s">
        <v>12200</v>
      </c>
      <c r="C2130" s="7">
        <v>3396</v>
      </c>
      <c r="D2130" s="8" t="s">
        <v>12201</v>
      </c>
      <c r="E2130" s="8" t="s">
        <v>12202</v>
      </c>
      <c r="F2130" s="8" t="s">
        <v>12203</v>
      </c>
      <c r="G2130" s="6" t="s">
        <v>132</v>
      </c>
      <c r="H2130" s="6" t="s">
        <v>99</v>
      </c>
      <c r="I2130" s="8"/>
      <c r="J2130" s="9">
        <v>1</v>
      </c>
      <c r="K2130" s="9">
        <v>544</v>
      </c>
      <c r="L2130" s="9">
        <v>2026</v>
      </c>
      <c r="M2130" s="8" t="s">
        <v>12204</v>
      </c>
      <c r="N2130" s="8" t="s">
        <v>42</v>
      </c>
      <c r="O2130" s="8" t="s">
        <v>101</v>
      </c>
      <c r="P2130" s="6" t="s">
        <v>286</v>
      </c>
      <c r="Q2130" s="8" t="s">
        <v>45</v>
      </c>
      <c r="R2130" s="10" t="s">
        <v>2700</v>
      </c>
      <c r="S2130" s="11"/>
      <c r="T2130" s="6"/>
      <c r="U2130" s="24" t="str">
        <f>HYPERLINK("https://media.infra-m.ru/2211/2211214/cover/2211214.jpg", "Обложка")</f>
        <v>Обложка</v>
      </c>
      <c r="V2130" s="24" t="str">
        <f>HYPERLINK("https://znanium.ru/catalog/product/2211214", "Ознакомиться")</f>
        <v>Ознакомиться</v>
      </c>
      <c r="W2130" s="8" t="s">
        <v>2281</v>
      </c>
      <c r="X2130" s="6" t="s">
        <v>450</v>
      </c>
      <c r="Y2130" s="6"/>
      <c r="Z2130" s="6"/>
      <c r="AA2130" s="6" t="s">
        <v>2441</v>
      </c>
      <c r="AB2130" s="8"/>
    </row>
    <row r="2131" spans="1:28" s="4" customFormat="1" ht="51.95" customHeight="1">
      <c r="A2131" s="5">
        <v>0</v>
      </c>
      <c r="B2131" s="6" t="s">
        <v>12205</v>
      </c>
      <c r="C2131" s="7">
        <v>3088.8</v>
      </c>
      <c r="D2131" s="8" t="s">
        <v>12206</v>
      </c>
      <c r="E2131" s="8" t="s">
        <v>12207</v>
      </c>
      <c r="F2131" s="8" t="s">
        <v>12208</v>
      </c>
      <c r="G2131" s="6" t="s">
        <v>81</v>
      </c>
      <c r="H2131" s="6" t="s">
        <v>39</v>
      </c>
      <c r="I2131" s="8" t="s">
        <v>237</v>
      </c>
      <c r="J2131" s="9">
        <v>1</v>
      </c>
      <c r="K2131" s="9">
        <v>494</v>
      </c>
      <c r="L2131" s="9">
        <v>2025</v>
      </c>
      <c r="M2131" s="8" t="s">
        <v>12209</v>
      </c>
      <c r="N2131" s="8" t="s">
        <v>284</v>
      </c>
      <c r="O2131" s="8" t="s">
        <v>312</v>
      </c>
      <c r="P2131" s="6" t="s">
        <v>286</v>
      </c>
      <c r="Q2131" s="8" t="s">
        <v>287</v>
      </c>
      <c r="R2131" s="10" t="s">
        <v>12210</v>
      </c>
      <c r="S2131" s="11"/>
      <c r="T2131" s="6"/>
      <c r="U2131" s="24" t="str">
        <f>HYPERLINK("https://media.infra-m.ru/2200/2200014/cover/2200014.jpg", "Обложка")</f>
        <v>Обложка</v>
      </c>
      <c r="V2131" s="24" t="str">
        <f>HYPERLINK("https://znanium.ru/catalog/product/1287090", "Ознакомиться")</f>
        <v>Ознакомиться</v>
      </c>
      <c r="W2131" s="8" t="s">
        <v>516</v>
      </c>
      <c r="X2131" s="6"/>
      <c r="Y2131" s="6" t="s">
        <v>30</v>
      </c>
      <c r="Z2131" s="6"/>
      <c r="AA2131" s="6" t="s">
        <v>12211</v>
      </c>
      <c r="AB2131" s="8"/>
    </row>
    <row r="2132" spans="1:28" s="4" customFormat="1" ht="51.95" customHeight="1">
      <c r="A2132" s="5">
        <v>0</v>
      </c>
      <c r="B2132" s="6" t="s">
        <v>12212</v>
      </c>
      <c r="C2132" s="7">
        <v>2640</v>
      </c>
      <c r="D2132" s="8" t="s">
        <v>12213</v>
      </c>
      <c r="E2132" s="8" t="s">
        <v>12214</v>
      </c>
      <c r="F2132" s="8" t="s">
        <v>12215</v>
      </c>
      <c r="G2132" s="6" t="s">
        <v>132</v>
      </c>
      <c r="H2132" s="6" t="s">
        <v>39</v>
      </c>
      <c r="I2132" s="8" t="s">
        <v>237</v>
      </c>
      <c r="J2132" s="9">
        <v>1</v>
      </c>
      <c r="K2132" s="9">
        <v>424</v>
      </c>
      <c r="L2132" s="9">
        <v>2025</v>
      </c>
      <c r="M2132" s="8" t="s">
        <v>12216</v>
      </c>
      <c r="N2132" s="8" t="s">
        <v>42</v>
      </c>
      <c r="O2132" s="8" t="s">
        <v>189</v>
      </c>
      <c r="P2132" s="6" t="s">
        <v>286</v>
      </c>
      <c r="Q2132" s="8" t="s">
        <v>45</v>
      </c>
      <c r="R2132" s="10" t="s">
        <v>12217</v>
      </c>
      <c r="S2132" s="11"/>
      <c r="T2132" s="6"/>
      <c r="U2132" s="24" t="str">
        <f>HYPERLINK("https://media.infra-m.ru/2207/2207146/cover/2207146.jpg", "Обложка")</f>
        <v>Обложка</v>
      </c>
      <c r="V2132" s="24" t="str">
        <f>HYPERLINK("https://znanium.ru/catalog/product/2207146", "Ознакомиться")</f>
        <v>Ознакомиться</v>
      </c>
      <c r="W2132" s="8" t="s">
        <v>207</v>
      </c>
      <c r="X2132" s="6"/>
      <c r="Y2132" s="6"/>
      <c r="Z2132" s="6"/>
      <c r="AA2132" s="6" t="s">
        <v>369</v>
      </c>
      <c r="AB2132" s="8"/>
    </row>
    <row r="2133" spans="1:28" s="4" customFormat="1" ht="51.95" customHeight="1">
      <c r="A2133" s="5">
        <v>0</v>
      </c>
      <c r="B2133" s="6" t="s">
        <v>12218</v>
      </c>
      <c r="C2133" s="7">
        <v>1764</v>
      </c>
      <c r="D2133" s="8" t="s">
        <v>12219</v>
      </c>
      <c r="E2133" s="8" t="s">
        <v>12220</v>
      </c>
      <c r="F2133" s="8" t="s">
        <v>12221</v>
      </c>
      <c r="G2133" s="6" t="s">
        <v>81</v>
      </c>
      <c r="H2133" s="6" t="s">
        <v>39</v>
      </c>
      <c r="I2133" s="8" t="s">
        <v>2022</v>
      </c>
      <c r="J2133" s="9">
        <v>1</v>
      </c>
      <c r="K2133" s="9">
        <v>262</v>
      </c>
      <c r="L2133" s="9">
        <v>2026</v>
      </c>
      <c r="M2133" s="8" t="s">
        <v>12222</v>
      </c>
      <c r="N2133" s="8" t="s">
        <v>284</v>
      </c>
      <c r="O2133" s="8" t="s">
        <v>285</v>
      </c>
      <c r="P2133" s="6" t="s">
        <v>286</v>
      </c>
      <c r="Q2133" s="8" t="s">
        <v>2024</v>
      </c>
      <c r="R2133" s="10" t="s">
        <v>12223</v>
      </c>
      <c r="S2133" s="11"/>
      <c r="T2133" s="6"/>
      <c r="U2133" s="24" t="str">
        <f>HYPERLINK("https://media.infra-m.ru/2224/2224064/cover/2224064.jpg", "Обложка")</f>
        <v>Обложка</v>
      </c>
      <c r="V2133" s="24" t="str">
        <f>HYPERLINK("https://znanium.ru/catalog/product/2224064", "Ознакомиться")</f>
        <v>Ознакомиться</v>
      </c>
      <c r="W2133" s="8" t="s">
        <v>191</v>
      </c>
      <c r="X2133" s="6"/>
      <c r="Y2133" s="6"/>
      <c r="Z2133" s="6"/>
      <c r="AA2133" s="6" t="s">
        <v>725</v>
      </c>
      <c r="AB2133" s="8"/>
    </row>
    <row r="2134" spans="1:28" s="4" customFormat="1" ht="42" customHeight="1">
      <c r="A2134" s="5">
        <v>0</v>
      </c>
      <c r="B2134" s="6" t="s">
        <v>12224</v>
      </c>
      <c r="C2134" s="7">
        <v>2304</v>
      </c>
      <c r="D2134" s="8" t="s">
        <v>12225</v>
      </c>
      <c r="E2134" s="8" t="s">
        <v>12226</v>
      </c>
      <c r="F2134" s="8" t="s">
        <v>12227</v>
      </c>
      <c r="G2134" s="6" t="s">
        <v>81</v>
      </c>
      <c r="H2134" s="6" t="s">
        <v>99</v>
      </c>
      <c r="I2134" s="8"/>
      <c r="J2134" s="9">
        <v>1</v>
      </c>
      <c r="K2134" s="9">
        <v>368</v>
      </c>
      <c r="L2134" s="9">
        <v>2026</v>
      </c>
      <c r="M2134" s="8" t="s">
        <v>12228</v>
      </c>
      <c r="N2134" s="8" t="s">
        <v>42</v>
      </c>
      <c r="O2134" s="8" t="s">
        <v>101</v>
      </c>
      <c r="P2134" s="6" t="s">
        <v>44</v>
      </c>
      <c r="Q2134" s="8" t="s">
        <v>45</v>
      </c>
      <c r="R2134" s="10" t="s">
        <v>874</v>
      </c>
      <c r="S2134" s="11"/>
      <c r="T2134" s="6"/>
      <c r="U2134" s="24" t="str">
        <f>HYPERLINK("https://media.infra-m.ru/2218/2218401/cover/2218401.jpg", "Обложка")</f>
        <v>Обложка</v>
      </c>
      <c r="V2134" s="24" t="str">
        <f>HYPERLINK("https://znanium.ru/catalog/product/988926", "Ознакомиться")</f>
        <v>Ознакомиться</v>
      </c>
      <c r="W2134" s="8" t="s">
        <v>262</v>
      </c>
      <c r="X2134" s="6"/>
      <c r="Y2134" s="6"/>
      <c r="Z2134" s="6"/>
      <c r="AA2134" s="6" t="s">
        <v>48</v>
      </c>
      <c r="AB2134" s="8"/>
    </row>
    <row r="2135" spans="1:28" s="4" customFormat="1" ht="44.1" customHeight="1">
      <c r="A2135" s="5">
        <v>0</v>
      </c>
      <c r="B2135" s="6" t="s">
        <v>12229</v>
      </c>
      <c r="C2135" s="7">
        <v>1344</v>
      </c>
      <c r="D2135" s="8" t="s">
        <v>12230</v>
      </c>
      <c r="E2135" s="8" t="s">
        <v>12231</v>
      </c>
      <c r="F2135" s="8" t="s">
        <v>12232</v>
      </c>
      <c r="G2135" s="6" t="s">
        <v>132</v>
      </c>
      <c r="H2135" s="6" t="s">
        <v>182</v>
      </c>
      <c r="I2135" s="8" t="s">
        <v>40</v>
      </c>
      <c r="J2135" s="9">
        <v>1</v>
      </c>
      <c r="K2135" s="9">
        <v>245</v>
      </c>
      <c r="L2135" s="9">
        <v>2023</v>
      </c>
      <c r="M2135" s="8" t="s">
        <v>12233</v>
      </c>
      <c r="N2135" s="8" t="s">
        <v>42</v>
      </c>
      <c r="O2135" s="8" t="s">
        <v>101</v>
      </c>
      <c r="P2135" s="6" t="s">
        <v>44</v>
      </c>
      <c r="Q2135" s="8" t="s">
        <v>45</v>
      </c>
      <c r="R2135" s="10" t="s">
        <v>12234</v>
      </c>
      <c r="S2135" s="11"/>
      <c r="T2135" s="6"/>
      <c r="U2135" s="24" t="str">
        <f>HYPERLINK("https://media.infra-m.ru/1913/1913778/cover/1913778.jpg", "Обложка")</f>
        <v>Обложка</v>
      </c>
      <c r="V2135" s="12"/>
      <c r="W2135" s="8" t="s">
        <v>1594</v>
      </c>
      <c r="X2135" s="6"/>
      <c r="Y2135" s="6"/>
      <c r="Z2135" s="6"/>
      <c r="AA2135" s="6" t="s">
        <v>119</v>
      </c>
      <c r="AB2135" s="8"/>
    </row>
    <row r="2136" spans="1:28" s="4" customFormat="1" ht="51.95" customHeight="1">
      <c r="A2136" s="5">
        <v>0</v>
      </c>
      <c r="B2136" s="6" t="s">
        <v>12235</v>
      </c>
      <c r="C2136" s="7">
        <v>1782</v>
      </c>
      <c r="D2136" s="8" t="s">
        <v>12236</v>
      </c>
      <c r="E2136" s="8" t="s">
        <v>12237</v>
      </c>
      <c r="F2136" s="8" t="s">
        <v>2966</v>
      </c>
      <c r="G2136" s="6" t="s">
        <v>132</v>
      </c>
      <c r="H2136" s="6" t="s">
        <v>99</v>
      </c>
      <c r="I2136" s="8"/>
      <c r="J2136" s="9">
        <v>1</v>
      </c>
      <c r="K2136" s="9">
        <v>264</v>
      </c>
      <c r="L2136" s="9">
        <v>2025</v>
      </c>
      <c r="M2136" s="8" t="s">
        <v>12238</v>
      </c>
      <c r="N2136" s="8" t="s">
        <v>42</v>
      </c>
      <c r="O2136" s="8" t="s">
        <v>101</v>
      </c>
      <c r="P2136" s="6" t="s">
        <v>44</v>
      </c>
      <c r="Q2136" s="8"/>
      <c r="R2136" s="10" t="s">
        <v>12239</v>
      </c>
      <c r="S2136" s="11"/>
      <c r="T2136" s="6"/>
      <c r="U2136" s="24" t="str">
        <f>HYPERLINK("https://media.infra-m.ru/2187/2187619/cover/2187619.jpg", "Обложка")</f>
        <v>Обложка</v>
      </c>
      <c r="V2136" s="24" t="str">
        <f>HYPERLINK("https://znanium.ru/catalog/product/2185280", "Ознакомиться")</f>
        <v>Ознакомиться</v>
      </c>
      <c r="W2136" s="8" t="s">
        <v>103</v>
      </c>
      <c r="X2136" s="6"/>
      <c r="Y2136" s="6"/>
      <c r="Z2136" s="6"/>
      <c r="AA2136" s="6" t="s">
        <v>159</v>
      </c>
      <c r="AB2136" s="8"/>
    </row>
    <row r="2137" spans="1:28" s="4" customFormat="1" ht="42" customHeight="1">
      <c r="A2137" s="5">
        <v>0</v>
      </c>
      <c r="B2137" s="6" t="s">
        <v>12240</v>
      </c>
      <c r="C2137" s="13">
        <v>720</v>
      </c>
      <c r="D2137" s="8" t="s">
        <v>12241</v>
      </c>
      <c r="E2137" s="8" t="s">
        <v>12242</v>
      </c>
      <c r="F2137" s="8" t="s">
        <v>3498</v>
      </c>
      <c r="G2137" s="6" t="s">
        <v>38</v>
      </c>
      <c r="H2137" s="6" t="s">
        <v>39</v>
      </c>
      <c r="I2137" s="8" t="s">
        <v>40</v>
      </c>
      <c r="J2137" s="9">
        <v>1</v>
      </c>
      <c r="K2137" s="9">
        <v>140</v>
      </c>
      <c r="L2137" s="9">
        <v>2022</v>
      </c>
      <c r="M2137" s="8" t="s">
        <v>12243</v>
      </c>
      <c r="N2137" s="8" t="s">
        <v>42</v>
      </c>
      <c r="O2137" s="8" t="s">
        <v>65</v>
      </c>
      <c r="P2137" s="6" t="s">
        <v>44</v>
      </c>
      <c r="Q2137" s="8" t="s">
        <v>45</v>
      </c>
      <c r="R2137" s="10" t="s">
        <v>12244</v>
      </c>
      <c r="S2137" s="11"/>
      <c r="T2137" s="6"/>
      <c r="U2137" s="24" t="str">
        <f>HYPERLINK("https://media.infra-m.ru/1042/1042275/cover/1042275.jpg", "Обложка")</f>
        <v>Обложка</v>
      </c>
      <c r="V2137" s="24" t="str">
        <f>HYPERLINK("https://znanium.ru/catalog/product/1042275", "Ознакомиться")</f>
        <v>Ознакомиться</v>
      </c>
      <c r="W2137" s="8" t="s">
        <v>3501</v>
      </c>
      <c r="X2137" s="6"/>
      <c r="Y2137" s="6"/>
      <c r="Z2137" s="6"/>
      <c r="AA2137" s="6" t="s">
        <v>111</v>
      </c>
      <c r="AB2137" s="8"/>
    </row>
    <row r="2138" spans="1:28" s="4" customFormat="1" ht="51.95" customHeight="1">
      <c r="A2138" s="5">
        <v>0</v>
      </c>
      <c r="B2138" s="6" t="s">
        <v>12245</v>
      </c>
      <c r="C2138" s="7">
        <v>1227.5</v>
      </c>
      <c r="D2138" s="8" t="s">
        <v>12246</v>
      </c>
      <c r="E2138" s="8" t="s">
        <v>12247</v>
      </c>
      <c r="F2138" s="8" t="s">
        <v>9825</v>
      </c>
      <c r="G2138" s="6" t="s">
        <v>132</v>
      </c>
      <c r="H2138" s="6" t="s">
        <v>99</v>
      </c>
      <c r="I2138" s="8"/>
      <c r="J2138" s="9">
        <v>1</v>
      </c>
      <c r="K2138" s="9">
        <v>384</v>
      </c>
      <c r="L2138" s="9">
        <v>2019</v>
      </c>
      <c r="M2138" s="8" t="s">
        <v>12248</v>
      </c>
      <c r="N2138" s="8" t="s">
        <v>42</v>
      </c>
      <c r="O2138" s="8" t="s">
        <v>101</v>
      </c>
      <c r="P2138" s="6" t="s">
        <v>44</v>
      </c>
      <c r="Q2138" s="8" t="s">
        <v>45</v>
      </c>
      <c r="R2138" s="10" t="s">
        <v>12249</v>
      </c>
      <c r="S2138" s="11"/>
      <c r="T2138" s="6"/>
      <c r="U2138" s="24" t="str">
        <f>HYPERLINK("https://media.infra-m.ru/1019/1019212/cover/1019212.jpg", "Обложка")</f>
        <v>Обложка</v>
      </c>
      <c r="V2138" s="24" t="str">
        <f>HYPERLINK("https://znanium.ru/catalog/product/1061191", "Ознакомиться")</f>
        <v>Ознакомиться</v>
      </c>
      <c r="W2138" s="8" t="s">
        <v>4153</v>
      </c>
      <c r="X2138" s="6"/>
      <c r="Y2138" s="6"/>
      <c r="Z2138" s="6"/>
      <c r="AA2138" s="6" t="s">
        <v>76</v>
      </c>
      <c r="AB2138" s="8"/>
    </row>
    <row r="2139" spans="1:28" s="4" customFormat="1" ht="42" customHeight="1">
      <c r="A2139" s="5">
        <v>0</v>
      </c>
      <c r="B2139" s="6" t="s">
        <v>12250</v>
      </c>
      <c r="C2139" s="7">
        <v>2032.8</v>
      </c>
      <c r="D2139" s="8" t="s">
        <v>12251</v>
      </c>
      <c r="E2139" s="8" t="s">
        <v>12252</v>
      </c>
      <c r="F2139" s="8"/>
      <c r="G2139" s="6" t="s">
        <v>38</v>
      </c>
      <c r="H2139" s="6" t="s">
        <v>39</v>
      </c>
      <c r="I2139" s="8"/>
      <c r="J2139" s="9">
        <v>30</v>
      </c>
      <c r="K2139" s="9">
        <v>42</v>
      </c>
      <c r="L2139" s="9">
        <v>2024</v>
      </c>
      <c r="M2139" s="8"/>
      <c r="N2139" s="8" t="s">
        <v>229</v>
      </c>
      <c r="O2139" s="8" t="s">
        <v>230</v>
      </c>
      <c r="P2139" s="6" t="s">
        <v>183</v>
      </c>
      <c r="Q2139" s="8"/>
      <c r="R2139" s="10"/>
      <c r="S2139" s="11"/>
      <c r="T2139" s="6"/>
      <c r="U2139" s="24" t="str">
        <f>HYPERLINK("https://media.infra-m.ru/2081/2081600/cover/2081600.jpg", "Обложка")</f>
        <v>Обложка</v>
      </c>
      <c r="V2139" s="24" t="str">
        <f>HYPERLINK("https://znanium.ru/catalog/product/2174167", "Ознакомиться")</f>
        <v>Ознакомиться</v>
      </c>
      <c r="W2139" s="8"/>
      <c r="X2139" s="6"/>
      <c r="Y2139" s="6"/>
      <c r="Z2139" s="6"/>
      <c r="AA2139" s="6" t="s">
        <v>241</v>
      </c>
      <c r="AB2139" s="8"/>
    </row>
    <row r="2140" spans="1:28" s="4" customFormat="1" ht="42" customHeight="1">
      <c r="A2140" s="5">
        <v>0</v>
      </c>
      <c r="B2140" s="6" t="s">
        <v>12253</v>
      </c>
      <c r="C2140" s="7">
        <v>2032.8</v>
      </c>
      <c r="D2140" s="8" t="s">
        <v>12254</v>
      </c>
      <c r="E2140" s="8" t="s">
        <v>12255</v>
      </c>
      <c r="F2140" s="8"/>
      <c r="G2140" s="6" t="s">
        <v>38</v>
      </c>
      <c r="H2140" s="6" t="s">
        <v>39</v>
      </c>
      <c r="I2140" s="8"/>
      <c r="J2140" s="9">
        <v>1</v>
      </c>
      <c r="K2140" s="9">
        <v>65</v>
      </c>
      <c r="L2140" s="9">
        <v>2025</v>
      </c>
      <c r="M2140" s="8"/>
      <c r="N2140" s="8" t="s">
        <v>229</v>
      </c>
      <c r="O2140" s="8" t="s">
        <v>230</v>
      </c>
      <c r="P2140" s="6" t="s">
        <v>183</v>
      </c>
      <c r="Q2140" s="8"/>
      <c r="R2140" s="10"/>
      <c r="S2140" s="11"/>
      <c r="T2140" s="6"/>
      <c r="U2140" s="24" t="str">
        <f>HYPERLINK("https://media.infra-m.ru/2174/2174168/cover/2174168.jpg", "Обложка")</f>
        <v>Обложка</v>
      </c>
      <c r="V2140" s="24" t="str">
        <f>HYPERLINK("https://znanium.ru/catalog/product/2174167", "Ознакомиться")</f>
        <v>Ознакомиться</v>
      </c>
      <c r="W2140" s="8"/>
      <c r="X2140" s="6" t="s">
        <v>1094</v>
      </c>
      <c r="Y2140" s="6"/>
      <c r="Z2140" s="6"/>
      <c r="AA2140" s="6" t="s">
        <v>127</v>
      </c>
      <c r="AB2140" s="8"/>
    </row>
    <row r="2141" spans="1:28" s="4" customFormat="1" ht="51.95" customHeight="1">
      <c r="A2141" s="5">
        <v>0</v>
      </c>
      <c r="B2141" s="6" t="s">
        <v>12256</v>
      </c>
      <c r="C2141" s="7">
        <v>1272</v>
      </c>
      <c r="D2141" s="8" t="s">
        <v>12257</v>
      </c>
      <c r="E2141" s="8" t="s">
        <v>12258</v>
      </c>
      <c r="F2141" s="8" t="s">
        <v>12259</v>
      </c>
      <c r="G2141" s="6" t="s">
        <v>38</v>
      </c>
      <c r="H2141" s="6" t="s">
        <v>182</v>
      </c>
      <c r="I2141" s="8" t="s">
        <v>40</v>
      </c>
      <c r="J2141" s="9">
        <v>1</v>
      </c>
      <c r="K2141" s="9">
        <v>204</v>
      </c>
      <c r="L2141" s="9">
        <v>2025</v>
      </c>
      <c r="M2141" s="8" t="s">
        <v>12260</v>
      </c>
      <c r="N2141" s="8" t="s">
        <v>54</v>
      </c>
      <c r="O2141" s="8" t="s">
        <v>140</v>
      </c>
      <c r="P2141" s="6" t="s">
        <v>44</v>
      </c>
      <c r="Q2141" s="8" t="s">
        <v>45</v>
      </c>
      <c r="R2141" s="10" t="s">
        <v>12261</v>
      </c>
      <c r="S2141" s="11"/>
      <c r="T2141" s="6"/>
      <c r="U2141" s="24" t="str">
        <f>HYPERLINK("https://media.infra-m.ru/2200/2200970/cover/2200970.jpg", "Обложка")</f>
        <v>Обложка</v>
      </c>
      <c r="V2141" s="24" t="str">
        <f>HYPERLINK("https://znanium.ru/catalog/product/2200970", "Ознакомиться")</f>
        <v>Ознакомиться</v>
      </c>
      <c r="W2141" s="8" t="s">
        <v>12262</v>
      </c>
      <c r="X2141" s="6"/>
      <c r="Y2141" s="6"/>
      <c r="Z2141" s="6"/>
      <c r="AA2141" s="6" t="s">
        <v>1050</v>
      </c>
      <c r="AB2141" s="8"/>
    </row>
    <row r="2142" spans="1:28" s="4" customFormat="1" ht="51.95" customHeight="1">
      <c r="A2142" s="5">
        <v>0</v>
      </c>
      <c r="B2142" s="6" t="s">
        <v>12263</v>
      </c>
      <c r="C2142" s="7">
        <v>1236</v>
      </c>
      <c r="D2142" s="8" t="s">
        <v>12264</v>
      </c>
      <c r="E2142" s="8" t="s">
        <v>12265</v>
      </c>
      <c r="F2142" s="8" t="s">
        <v>12266</v>
      </c>
      <c r="G2142" s="6" t="s">
        <v>38</v>
      </c>
      <c r="H2142" s="6" t="s">
        <v>39</v>
      </c>
      <c r="I2142" s="8" t="s">
        <v>40</v>
      </c>
      <c r="J2142" s="9">
        <v>1</v>
      </c>
      <c r="K2142" s="9">
        <v>198</v>
      </c>
      <c r="L2142" s="9">
        <v>2026</v>
      </c>
      <c r="M2142" s="8" t="s">
        <v>12267</v>
      </c>
      <c r="N2142" s="8" t="s">
        <v>229</v>
      </c>
      <c r="O2142" s="8" t="s">
        <v>230</v>
      </c>
      <c r="P2142" s="6" t="s">
        <v>44</v>
      </c>
      <c r="Q2142" s="8" t="s">
        <v>45</v>
      </c>
      <c r="R2142" s="10" t="s">
        <v>3669</v>
      </c>
      <c r="S2142" s="11"/>
      <c r="T2142" s="6"/>
      <c r="U2142" s="24" t="str">
        <f>HYPERLINK("https://media.infra-m.ru/2210/2210791/cover/2210791.jpg", "Обложка")</f>
        <v>Обложка</v>
      </c>
      <c r="V2142" s="24" t="str">
        <f>HYPERLINK("https://znanium.ru/catalog/product/2210791", "Ознакомиться")</f>
        <v>Ознакомиться</v>
      </c>
      <c r="W2142" s="8" t="s">
        <v>516</v>
      </c>
      <c r="X2142" s="6"/>
      <c r="Y2142" s="6"/>
      <c r="Z2142" s="6"/>
      <c r="AA2142" s="6" t="s">
        <v>339</v>
      </c>
      <c r="AB2142" s="8"/>
    </row>
    <row r="2143" spans="1:28" s="4" customFormat="1" ht="42" customHeight="1">
      <c r="A2143" s="5">
        <v>0</v>
      </c>
      <c r="B2143" s="6" t="s">
        <v>12268</v>
      </c>
      <c r="C2143" s="7">
        <v>1332</v>
      </c>
      <c r="D2143" s="8" t="s">
        <v>12269</v>
      </c>
      <c r="E2143" s="8" t="s">
        <v>12270</v>
      </c>
      <c r="F2143" s="8" t="s">
        <v>12271</v>
      </c>
      <c r="G2143" s="6" t="s">
        <v>81</v>
      </c>
      <c r="H2143" s="6" t="s">
        <v>39</v>
      </c>
      <c r="I2143" s="8" t="s">
        <v>40</v>
      </c>
      <c r="J2143" s="9">
        <v>1</v>
      </c>
      <c r="K2143" s="9">
        <v>212</v>
      </c>
      <c r="L2143" s="9">
        <v>2025</v>
      </c>
      <c r="M2143" s="8" t="s">
        <v>12272</v>
      </c>
      <c r="N2143" s="8" t="s">
        <v>54</v>
      </c>
      <c r="O2143" s="8" t="s">
        <v>2811</v>
      </c>
      <c r="P2143" s="6" t="s">
        <v>44</v>
      </c>
      <c r="Q2143" s="8" t="s">
        <v>45</v>
      </c>
      <c r="R2143" s="10" t="s">
        <v>12273</v>
      </c>
      <c r="S2143" s="11"/>
      <c r="T2143" s="6"/>
      <c r="U2143" s="24" t="str">
        <f>HYPERLINK("https://media.infra-m.ru/2193/2193022/cover/2193022.jpg", "Обложка")</f>
        <v>Обложка</v>
      </c>
      <c r="V2143" s="24" t="str">
        <f>HYPERLINK("https://znanium.ru/catalog/product/2193022", "Ознакомиться")</f>
        <v>Ознакомиться</v>
      </c>
      <c r="W2143" s="8" t="s">
        <v>191</v>
      </c>
      <c r="X2143" s="6"/>
      <c r="Y2143" s="6"/>
      <c r="Z2143" s="6"/>
      <c r="AA2143" s="6" t="s">
        <v>58</v>
      </c>
      <c r="AB2143" s="8"/>
    </row>
    <row r="2144" spans="1:28" s="4" customFormat="1" ht="44.1" customHeight="1">
      <c r="A2144" s="5">
        <v>0</v>
      </c>
      <c r="B2144" s="6" t="s">
        <v>12274</v>
      </c>
      <c r="C2144" s="13">
        <v>929.9</v>
      </c>
      <c r="D2144" s="8" t="s">
        <v>12275</v>
      </c>
      <c r="E2144" s="8" t="s">
        <v>12276</v>
      </c>
      <c r="F2144" s="8" t="s">
        <v>12277</v>
      </c>
      <c r="G2144" s="6" t="s">
        <v>38</v>
      </c>
      <c r="H2144" s="6" t="s">
        <v>39</v>
      </c>
      <c r="I2144" s="8" t="s">
        <v>40</v>
      </c>
      <c r="J2144" s="9">
        <v>1</v>
      </c>
      <c r="K2144" s="9">
        <v>173</v>
      </c>
      <c r="L2144" s="9">
        <v>2023</v>
      </c>
      <c r="M2144" s="8" t="s">
        <v>12278</v>
      </c>
      <c r="N2144" s="8" t="s">
        <v>229</v>
      </c>
      <c r="O2144" s="8" t="s">
        <v>230</v>
      </c>
      <c r="P2144" s="6" t="s">
        <v>44</v>
      </c>
      <c r="Q2144" s="8" t="s">
        <v>45</v>
      </c>
      <c r="R2144" s="10" t="s">
        <v>12279</v>
      </c>
      <c r="S2144" s="11"/>
      <c r="T2144" s="6"/>
      <c r="U2144" s="24" t="str">
        <f>HYPERLINK("https://media.infra-m.ru/1964/1964980/cover/1964980.jpg", "Обложка")</f>
        <v>Обложка</v>
      </c>
      <c r="V2144" s="24" t="str">
        <f>HYPERLINK("https://znanium.ru/catalog/product/1007611", "Ознакомиться")</f>
        <v>Ознакомиться</v>
      </c>
      <c r="W2144" s="8" t="s">
        <v>149</v>
      </c>
      <c r="X2144" s="6"/>
      <c r="Y2144" s="6"/>
      <c r="Z2144" s="6"/>
      <c r="AA2144" s="6" t="s">
        <v>76</v>
      </c>
      <c r="AB2144" s="8"/>
    </row>
    <row r="2145" spans="1:28" s="4" customFormat="1" ht="42" customHeight="1">
      <c r="A2145" s="5">
        <v>0</v>
      </c>
      <c r="B2145" s="6" t="s">
        <v>12280</v>
      </c>
      <c r="C2145" s="13">
        <v>576</v>
      </c>
      <c r="D2145" s="8" t="s">
        <v>12281</v>
      </c>
      <c r="E2145" s="8" t="s">
        <v>12282</v>
      </c>
      <c r="F2145" s="8" t="s">
        <v>12283</v>
      </c>
      <c r="G2145" s="6" t="s">
        <v>38</v>
      </c>
      <c r="H2145" s="6" t="s">
        <v>39</v>
      </c>
      <c r="I2145" s="8" t="s">
        <v>40</v>
      </c>
      <c r="J2145" s="9">
        <v>1</v>
      </c>
      <c r="K2145" s="9">
        <v>104</v>
      </c>
      <c r="L2145" s="9">
        <v>2024</v>
      </c>
      <c r="M2145" s="8" t="s">
        <v>12284</v>
      </c>
      <c r="N2145" s="8" t="s">
        <v>42</v>
      </c>
      <c r="O2145" s="8" t="s">
        <v>189</v>
      </c>
      <c r="P2145" s="6" t="s">
        <v>44</v>
      </c>
      <c r="Q2145" s="8" t="s">
        <v>45</v>
      </c>
      <c r="R2145" s="10" t="s">
        <v>2472</v>
      </c>
      <c r="S2145" s="11"/>
      <c r="T2145" s="6"/>
      <c r="U2145" s="24" t="str">
        <f>HYPERLINK("https://media.infra-m.ru/2117/2117130/cover/2117130.jpg", "Обложка")</f>
        <v>Обложка</v>
      </c>
      <c r="V2145" s="24" t="str">
        <f>HYPERLINK("https://znanium.ru/catalog/product/2117130", "Ознакомиться")</f>
        <v>Ознакомиться</v>
      </c>
      <c r="W2145" s="8" t="s">
        <v>9917</v>
      </c>
      <c r="X2145" s="6"/>
      <c r="Y2145" s="6"/>
      <c r="Z2145" s="6"/>
      <c r="AA2145" s="6" t="s">
        <v>68</v>
      </c>
      <c r="AB2145" s="8"/>
    </row>
    <row r="2146" spans="1:28" s="4" customFormat="1" ht="42" customHeight="1">
      <c r="A2146" s="5">
        <v>0</v>
      </c>
      <c r="B2146" s="6" t="s">
        <v>12285</v>
      </c>
      <c r="C2146" s="7">
        <v>1200</v>
      </c>
      <c r="D2146" s="8" t="s">
        <v>12286</v>
      </c>
      <c r="E2146" s="8" t="s">
        <v>12287</v>
      </c>
      <c r="F2146" s="8" t="s">
        <v>12288</v>
      </c>
      <c r="G2146" s="6" t="s">
        <v>38</v>
      </c>
      <c r="H2146" s="6" t="s">
        <v>39</v>
      </c>
      <c r="I2146" s="8" t="s">
        <v>40</v>
      </c>
      <c r="J2146" s="9">
        <v>1</v>
      </c>
      <c r="K2146" s="9">
        <v>225</v>
      </c>
      <c r="L2146" s="9">
        <v>2022</v>
      </c>
      <c r="M2146" s="8" t="s">
        <v>12289</v>
      </c>
      <c r="N2146" s="8" t="s">
        <v>54</v>
      </c>
      <c r="O2146" s="8" t="s">
        <v>55</v>
      </c>
      <c r="P2146" s="6" t="s">
        <v>44</v>
      </c>
      <c r="Q2146" s="8" t="s">
        <v>45</v>
      </c>
      <c r="R2146" s="10" t="s">
        <v>12290</v>
      </c>
      <c r="S2146" s="11"/>
      <c r="T2146" s="6"/>
      <c r="U2146" s="24" t="str">
        <f>HYPERLINK("https://media.infra-m.ru/1868/1868934/cover/1868934.jpg", "Обложка")</f>
        <v>Обложка</v>
      </c>
      <c r="V2146" s="24" t="str">
        <f>HYPERLINK("https://znanium.ru/catalog/product/1868934", "Ознакомиться")</f>
        <v>Ознакомиться</v>
      </c>
      <c r="W2146" s="8" t="s">
        <v>686</v>
      </c>
      <c r="X2146" s="6"/>
      <c r="Y2146" s="6"/>
      <c r="Z2146" s="6"/>
      <c r="AA2146" s="6" t="s">
        <v>111</v>
      </c>
      <c r="AB2146" s="8"/>
    </row>
    <row r="2147" spans="1:28" s="4" customFormat="1" ht="44.1" customHeight="1">
      <c r="A2147" s="5">
        <v>0</v>
      </c>
      <c r="B2147" s="6" t="s">
        <v>12291</v>
      </c>
      <c r="C2147" s="7">
        <v>1476</v>
      </c>
      <c r="D2147" s="8" t="s">
        <v>12292</v>
      </c>
      <c r="E2147" s="8" t="s">
        <v>12293</v>
      </c>
      <c r="F2147" s="8" t="s">
        <v>12294</v>
      </c>
      <c r="G2147" s="6" t="s">
        <v>38</v>
      </c>
      <c r="H2147" s="6" t="s">
        <v>39</v>
      </c>
      <c r="I2147" s="8" t="s">
        <v>2342</v>
      </c>
      <c r="J2147" s="9">
        <v>1</v>
      </c>
      <c r="K2147" s="9">
        <v>267</v>
      </c>
      <c r="L2147" s="9">
        <v>2024</v>
      </c>
      <c r="M2147" s="8" t="s">
        <v>12295</v>
      </c>
      <c r="N2147" s="8" t="s">
        <v>54</v>
      </c>
      <c r="O2147" s="8" t="s">
        <v>55</v>
      </c>
      <c r="P2147" s="6" t="s">
        <v>44</v>
      </c>
      <c r="Q2147" s="8" t="s">
        <v>45</v>
      </c>
      <c r="R2147" s="10" t="s">
        <v>12296</v>
      </c>
      <c r="S2147" s="11"/>
      <c r="T2147" s="6"/>
      <c r="U2147" s="24" t="str">
        <f>HYPERLINK("https://media.infra-m.ru/2063/2063435/cover/2063435.jpg", "Обложка")</f>
        <v>Обложка</v>
      </c>
      <c r="V2147" s="24" t="str">
        <f>HYPERLINK("https://znanium.ru/catalog/product/2063435", "Ознакомиться")</f>
        <v>Ознакомиться</v>
      </c>
      <c r="W2147" s="8" t="s">
        <v>232</v>
      </c>
      <c r="X2147" s="6"/>
      <c r="Y2147" s="6"/>
      <c r="Z2147" s="6"/>
      <c r="AA2147" s="6" t="s">
        <v>76</v>
      </c>
      <c r="AB2147" s="8"/>
    </row>
    <row r="2148" spans="1:28" s="4" customFormat="1" ht="42" customHeight="1">
      <c r="A2148" s="5">
        <v>0</v>
      </c>
      <c r="B2148" s="6" t="s">
        <v>12297</v>
      </c>
      <c r="C2148" s="7">
        <v>3590.4</v>
      </c>
      <c r="D2148" s="8" t="s">
        <v>12298</v>
      </c>
      <c r="E2148" s="8" t="s">
        <v>12299</v>
      </c>
      <c r="F2148" s="8" t="s">
        <v>12300</v>
      </c>
      <c r="G2148" s="6" t="s">
        <v>81</v>
      </c>
      <c r="H2148" s="6" t="s">
        <v>39</v>
      </c>
      <c r="I2148" s="8" t="s">
        <v>828</v>
      </c>
      <c r="J2148" s="9">
        <v>1</v>
      </c>
      <c r="K2148" s="9">
        <v>292</v>
      </c>
      <c r="L2148" s="9">
        <v>2025</v>
      </c>
      <c r="M2148" s="8" t="s">
        <v>12301</v>
      </c>
      <c r="N2148" s="8" t="s">
        <v>229</v>
      </c>
      <c r="O2148" s="8" t="s">
        <v>230</v>
      </c>
      <c r="P2148" s="6" t="s">
        <v>12302</v>
      </c>
      <c r="Q2148" s="8" t="s">
        <v>287</v>
      </c>
      <c r="R2148" s="10" t="s">
        <v>7520</v>
      </c>
      <c r="S2148" s="11"/>
      <c r="T2148" s="6"/>
      <c r="U2148" s="24" t="str">
        <f>HYPERLINK("https://media.infra-m.ru/2143/2143237/cover/2143237.jpg", "Обложка")</f>
        <v>Обложка</v>
      </c>
      <c r="V2148" s="24" t="str">
        <f>HYPERLINK("https://znanium.ru/catalog/product/2143237", "Ознакомиться")</f>
        <v>Ознакомиться</v>
      </c>
      <c r="W2148" s="8"/>
      <c r="X2148" s="6"/>
      <c r="Y2148" s="6"/>
      <c r="Z2148" s="6"/>
      <c r="AA2148" s="6" t="s">
        <v>119</v>
      </c>
      <c r="AB2148" s="8"/>
    </row>
    <row r="2149" spans="1:28" s="4" customFormat="1" ht="42" customHeight="1">
      <c r="A2149" s="5">
        <v>0</v>
      </c>
      <c r="B2149" s="6" t="s">
        <v>12303</v>
      </c>
      <c r="C2149" s="7">
        <v>1408.8</v>
      </c>
      <c r="D2149" s="8" t="s">
        <v>12304</v>
      </c>
      <c r="E2149" s="8" t="s">
        <v>12305</v>
      </c>
      <c r="F2149" s="8" t="s">
        <v>12306</v>
      </c>
      <c r="G2149" s="6" t="s">
        <v>26</v>
      </c>
      <c r="H2149" s="6" t="s">
        <v>99</v>
      </c>
      <c r="I2149" s="8"/>
      <c r="J2149" s="9">
        <v>1</v>
      </c>
      <c r="K2149" s="9">
        <v>224</v>
      </c>
      <c r="L2149" s="9">
        <v>2026</v>
      </c>
      <c r="M2149" s="8" t="s">
        <v>12307</v>
      </c>
      <c r="N2149" s="8" t="s">
        <v>42</v>
      </c>
      <c r="O2149" s="8" t="s">
        <v>101</v>
      </c>
      <c r="P2149" s="6" t="s">
        <v>44</v>
      </c>
      <c r="Q2149" s="8"/>
      <c r="R2149" s="10" t="s">
        <v>12308</v>
      </c>
      <c r="S2149" s="11"/>
      <c r="T2149" s="6"/>
      <c r="U2149" s="24" t="str">
        <f>HYPERLINK("https://media.infra-m.ru/2220/2220704/cover/2220704.jpg", "Обложка")</f>
        <v>Обложка</v>
      </c>
      <c r="V2149" s="24" t="str">
        <f>HYPERLINK("https://znanium.ru/catalog/product/1234919", "Ознакомиться")</f>
        <v>Ознакомиться</v>
      </c>
      <c r="W2149" s="8" t="s">
        <v>5471</v>
      </c>
      <c r="X2149" s="6"/>
      <c r="Y2149" s="6"/>
      <c r="Z2149" s="6"/>
      <c r="AA2149" s="6" t="s">
        <v>127</v>
      </c>
      <c r="AB2149" s="8"/>
    </row>
    <row r="2150" spans="1:28" s="4" customFormat="1" ht="42" customHeight="1">
      <c r="A2150" s="5">
        <v>0</v>
      </c>
      <c r="B2150" s="6" t="s">
        <v>12309</v>
      </c>
      <c r="C2150" s="13">
        <v>948</v>
      </c>
      <c r="D2150" s="8" t="s">
        <v>12310</v>
      </c>
      <c r="E2150" s="8" t="s">
        <v>12311</v>
      </c>
      <c r="F2150" s="8" t="s">
        <v>12312</v>
      </c>
      <c r="G2150" s="6" t="s">
        <v>38</v>
      </c>
      <c r="H2150" s="6" t="s">
        <v>39</v>
      </c>
      <c r="I2150" s="8" t="s">
        <v>40</v>
      </c>
      <c r="J2150" s="9">
        <v>1</v>
      </c>
      <c r="K2150" s="9">
        <v>151</v>
      </c>
      <c r="L2150" s="9">
        <v>2025</v>
      </c>
      <c r="M2150" s="8" t="s">
        <v>12313</v>
      </c>
      <c r="N2150" s="8" t="s">
        <v>54</v>
      </c>
      <c r="O2150" s="8" t="s">
        <v>55</v>
      </c>
      <c r="P2150" s="6" t="s">
        <v>44</v>
      </c>
      <c r="Q2150" s="8" t="s">
        <v>45</v>
      </c>
      <c r="R2150" s="10" t="s">
        <v>12314</v>
      </c>
      <c r="S2150" s="11"/>
      <c r="T2150" s="6"/>
      <c r="U2150" s="24" t="str">
        <f>HYPERLINK("https://media.infra-m.ru/2217/2217134/cover/2217134.jpg", "Обложка")</f>
        <v>Обложка</v>
      </c>
      <c r="V2150" s="24" t="str">
        <f>HYPERLINK("https://znanium.ru/catalog/product/2217134", "Ознакомиться")</f>
        <v>Ознакомиться</v>
      </c>
      <c r="W2150" s="8" t="s">
        <v>11362</v>
      </c>
      <c r="X2150" s="6"/>
      <c r="Y2150" s="6"/>
      <c r="Z2150" s="6"/>
      <c r="AA2150" s="6" t="s">
        <v>127</v>
      </c>
      <c r="AB2150" s="8"/>
    </row>
    <row r="2151" spans="1:28" s="4" customFormat="1" ht="44.1" customHeight="1">
      <c r="A2151" s="5">
        <v>0</v>
      </c>
      <c r="B2151" s="6" t="s">
        <v>12315</v>
      </c>
      <c r="C2151" s="7">
        <v>2712</v>
      </c>
      <c r="D2151" s="8" t="s">
        <v>12316</v>
      </c>
      <c r="E2151" s="8" t="s">
        <v>12317</v>
      </c>
      <c r="F2151" s="8" t="s">
        <v>12318</v>
      </c>
      <c r="G2151" s="6" t="s">
        <v>132</v>
      </c>
      <c r="H2151" s="6" t="s">
        <v>571</v>
      </c>
      <c r="I2151" s="8"/>
      <c r="J2151" s="9">
        <v>1</v>
      </c>
      <c r="K2151" s="9">
        <v>480</v>
      </c>
      <c r="L2151" s="9">
        <v>2024</v>
      </c>
      <c r="M2151" s="8" t="s">
        <v>12319</v>
      </c>
      <c r="N2151" s="8" t="s">
        <v>42</v>
      </c>
      <c r="O2151" s="8" t="s">
        <v>189</v>
      </c>
      <c r="P2151" s="6" t="s">
        <v>44</v>
      </c>
      <c r="Q2151" s="8" t="s">
        <v>1152</v>
      </c>
      <c r="R2151" s="10" t="s">
        <v>12320</v>
      </c>
      <c r="S2151" s="11"/>
      <c r="T2151" s="6"/>
      <c r="U2151" s="24" t="str">
        <f>HYPERLINK("https://media.infra-m.ru/2136/2136708/cover/2136708.jpg", "Обложка")</f>
        <v>Обложка</v>
      </c>
      <c r="V2151" s="24" t="str">
        <f>HYPERLINK("https://znanium.ru/catalog/product/2136708", "Ознакомиться")</f>
        <v>Ознакомиться</v>
      </c>
      <c r="W2151" s="8" t="s">
        <v>223</v>
      </c>
      <c r="X2151" s="6"/>
      <c r="Y2151" s="6"/>
      <c r="Z2151" s="6"/>
      <c r="AA2151" s="6" t="s">
        <v>127</v>
      </c>
      <c r="AB2151" s="8"/>
    </row>
    <row r="2152" spans="1:28" s="4" customFormat="1" ht="42" customHeight="1">
      <c r="A2152" s="5">
        <v>0</v>
      </c>
      <c r="B2152" s="6" t="s">
        <v>12321</v>
      </c>
      <c r="C2152" s="7">
        <v>1558.8</v>
      </c>
      <c r="D2152" s="8" t="s">
        <v>12322</v>
      </c>
      <c r="E2152" s="8" t="s">
        <v>12323</v>
      </c>
      <c r="F2152" s="8" t="s">
        <v>12324</v>
      </c>
      <c r="G2152" s="6" t="s">
        <v>132</v>
      </c>
      <c r="H2152" s="6" t="s">
        <v>10622</v>
      </c>
      <c r="I2152" s="8"/>
      <c r="J2152" s="9">
        <v>1</v>
      </c>
      <c r="K2152" s="9">
        <v>285</v>
      </c>
      <c r="L2152" s="9">
        <v>2019</v>
      </c>
      <c r="M2152" s="8" t="s">
        <v>12325</v>
      </c>
      <c r="N2152" s="8" t="s">
        <v>42</v>
      </c>
      <c r="O2152" s="8" t="s">
        <v>189</v>
      </c>
      <c r="P2152" s="6" t="s">
        <v>44</v>
      </c>
      <c r="Q2152" s="8" t="s">
        <v>45</v>
      </c>
      <c r="R2152" s="10" t="s">
        <v>1426</v>
      </c>
      <c r="S2152" s="11"/>
      <c r="T2152" s="6"/>
      <c r="U2152" s="24" t="str">
        <f>HYPERLINK("https://media.infra-m.ru/1090/1090603/cover/1090603.jpg", "Обложка")</f>
        <v>Обложка</v>
      </c>
      <c r="V2152" s="24" t="str">
        <f>HYPERLINK("https://znanium.ru/catalog/product/1090603", "Ознакомиться")</f>
        <v>Ознакомиться</v>
      </c>
      <c r="W2152" s="8" t="s">
        <v>167</v>
      </c>
      <c r="X2152" s="6"/>
      <c r="Y2152" s="6"/>
      <c r="Z2152" s="6"/>
      <c r="AA2152" s="6" t="s">
        <v>76</v>
      </c>
      <c r="AB2152" s="8"/>
    </row>
    <row r="2153" spans="1:28" s="4" customFormat="1" ht="44.1" customHeight="1">
      <c r="A2153" s="5">
        <v>0</v>
      </c>
      <c r="B2153" s="6" t="s">
        <v>12326</v>
      </c>
      <c r="C2153" s="7">
        <v>2320.8000000000002</v>
      </c>
      <c r="D2153" s="8" t="s">
        <v>12327</v>
      </c>
      <c r="E2153" s="8" t="s">
        <v>12328</v>
      </c>
      <c r="F2153" s="8" t="s">
        <v>1371</v>
      </c>
      <c r="G2153" s="6" t="s">
        <v>81</v>
      </c>
      <c r="H2153" s="6" t="s">
        <v>99</v>
      </c>
      <c r="I2153" s="8"/>
      <c r="J2153" s="9">
        <v>1</v>
      </c>
      <c r="K2153" s="9">
        <v>368</v>
      </c>
      <c r="L2153" s="9">
        <v>2026</v>
      </c>
      <c r="M2153" s="8" t="s">
        <v>12329</v>
      </c>
      <c r="N2153" s="8" t="s">
        <v>42</v>
      </c>
      <c r="O2153" s="8" t="s">
        <v>101</v>
      </c>
      <c r="P2153" s="6" t="s">
        <v>44</v>
      </c>
      <c r="Q2153" s="8" t="s">
        <v>1152</v>
      </c>
      <c r="R2153" s="10" t="s">
        <v>2137</v>
      </c>
      <c r="S2153" s="11"/>
      <c r="T2153" s="6"/>
      <c r="U2153" s="24" t="str">
        <f>HYPERLINK("https://media.infra-m.ru/2218/2218479/cover/2218479.jpg", "Обложка")</f>
        <v>Обложка</v>
      </c>
      <c r="V2153" s="24" t="str">
        <f>HYPERLINK("https://znanium.ru/catalog/product/1078118", "Ознакомиться")</f>
        <v>Ознакомиться</v>
      </c>
      <c r="W2153" s="8" t="s">
        <v>418</v>
      </c>
      <c r="X2153" s="6"/>
      <c r="Y2153" s="6"/>
      <c r="Z2153" s="6"/>
      <c r="AA2153" s="6" t="s">
        <v>536</v>
      </c>
      <c r="AB2153" s="8"/>
    </row>
    <row r="2154" spans="1:28" s="4" customFormat="1" ht="51.95" customHeight="1">
      <c r="A2154" s="5">
        <v>0</v>
      </c>
      <c r="B2154" s="6" t="s">
        <v>12330</v>
      </c>
      <c r="C2154" s="13">
        <v>653.9</v>
      </c>
      <c r="D2154" s="8" t="s">
        <v>12331</v>
      </c>
      <c r="E2154" s="8" t="s">
        <v>12332</v>
      </c>
      <c r="F2154" s="8" t="s">
        <v>12333</v>
      </c>
      <c r="G2154" s="6" t="s">
        <v>132</v>
      </c>
      <c r="H2154" s="6" t="s">
        <v>39</v>
      </c>
      <c r="I2154" s="8" t="s">
        <v>40</v>
      </c>
      <c r="J2154" s="9">
        <v>1</v>
      </c>
      <c r="K2154" s="9">
        <v>161</v>
      </c>
      <c r="L2154" s="9">
        <v>2020</v>
      </c>
      <c r="M2154" s="8" t="s">
        <v>12334</v>
      </c>
      <c r="N2154" s="8" t="s">
        <v>42</v>
      </c>
      <c r="O2154" s="8" t="s">
        <v>189</v>
      </c>
      <c r="P2154" s="6" t="s">
        <v>44</v>
      </c>
      <c r="Q2154" s="8" t="s">
        <v>45</v>
      </c>
      <c r="R2154" s="10" t="s">
        <v>12335</v>
      </c>
      <c r="S2154" s="11"/>
      <c r="T2154" s="6"/>
      <c r="U2154" s="24" t="str">
        <f>HYPERLINK("https://media.infra-m.ru/1036/1036622/cover/1036622.jpg", "Обложка")</f>
        <v>Обложка</v>
      </c>
      <c r="V2154" s="24" t="str">
        <f>HYPERLINK("https://znanium.ru/catalog/product/1036622", "Ознакомиться")</f>
        <v>Ознакомиться</v>
      </c>
      <c r="W2154" s="8" t="s">
        <v>1594</v>
      </c>
      <c r="X2154" s="6"/>
      <c r="Y2154" s="6"/>
      <c r="Z2154" s="6"/>
      <c r="AA2154" s="6" t="s">
        <v>369</v>
      </c>
      <c r="AB2154" s="8"/>
    </row>
    <row r="2155" spans="1:28" s="4" customFormat="1" ht="51.95" customHeight="1">
      <c r="A2155" s="5">
        <v>0</v>
      </c>
      <c r="B2155" s="6" t="s">
        <v>12336</v>
      </c>
      <c r="C2155" s="13">
        <v>264</v>
      </c>
      <c r="D2155" s="8" t="s">
        <v>12337</v>
      </c>
      <c r="E2155" s="8" t="s">
        <v>12338</v>
      </c>
      <c r="F2155" s="8" t="s">
        <v>8417</v>
      </c>
      <c r="G2155" s="6" t="s">
        <v>38</v>
      </c>
      <c r="H2155" s="6" t="s">
        <v>99</v>
      </c>
      <c r="I2155" s="8"/>
      <c r="J2155" s="9">
        <v>1</v>
      </c>
      <c r="K2155" s="9">
        <v>48</v>
      </c>
      <c r="L2155" s="9">
        <v>2023</v>
      </c>
      <c r="M2155" s="8" t="s">
        <v>12339</v>
      </c>
      <c r="N2155" s="8" t="s">
        <v>42</v>
      </c>
      <c r="O2155" s="8" t="s">
        <v>65</v>
      </c>
      <c r="P2155" s="6" t="s">
        <v>44</v>
      </c>
      <c r="Q2155" s="8" t="s">
        <v>45</v>
      </c>
      <c r="R2155" s="10" t="s">
        <v>12340</v>
      </c>
      <c r="S2155" s="11"/>
      <c r="T2155" s="6"/>
      <c r="U2155" s="24" t="str">
        <f>HYPERLINK("https://media.infra-m.ru/1993/1993586/cover/1993586.jpg", "Обложка")</f>
        <v>Обложка</v>
      </c>
      <c r="V2155" s="24" t="str">
        <f>HYPERLINK("https://znanium.ru/catalog/product/1993586", "Ознакомиться")</f>
        <v>Ознакомиться</v>
      </c>
      <c r="W2155" s="8" t="s">
        <v>565</v>
      </c>
      <c r="X2155" s="6"/>
      <c r="Y2155" s="6"/>
      <c r="Z2155" s="6"/>
      <c r="AA2155" s="6" t="s">
        <v>94</v>
      </c>
      <c r="AB2155" s="8"/>
    </row>
    <row r="2156" spans="1:28" s="4" customFormat="1" ht="42" customHeight="1">
      <c r="A2156" s="5">
        <v>0</v>
      </c>
      <c r="B2156" s="6" t="s">
        <v>12341</v>
      </c>
      <c r="C2156" s="13">
        <v>712.8</v>
      </c>
      <c r="D2156" s="8" t="s">
        <v>12342</v>
      </c>
      <c r="E2156" s="8" t="s">
        <v>12343</v>
      </c>
      <c r="F2156" s="8" t="s">
        <v>12344</v>
      </c>
      <c r="G2156" s="6" t="s">
        <v>38</v>
      </c>
      <c r="H2156" s="6" t="s">
        <v>39</v>
      </c>
      <c r="I2156" s="8" t="s">
        <v>40</v>
      </c>
      <c r="J2156" s="9">
        <v>1</v>
      </c>
      <c r="K2156" s="9">
        <v>108</v>
      </c>
      <c r="L2156" s="9">
        <v>2026</v>
      </c>
      <c r="M2156" s="8" t="s">
        <v>12345</v>
      </c>
      <c r="N2156" s="8" t="s">
        <v>42</v>
      </c>
      <c r="O2156" s="8" t="s">
        <v>189</v>
      </c>
      <c r="P2156" s="6" t="s">
        <v>44</v>
      </c>
      <c r="Q2156" s="8" t="s">
        <v>45</v>
      </c>
      <c r="R2156" s="10" t="s">
        <v>1854</v>
      </c>
      <c r="S2156" s="11"/>
      <c r="T2156" s="6"/>
      <c r="U2156" s="24" t="str">
        <f>HYPERLINK("https://media.infra-m.ru/2224/2224135/cover/2224135.jpg", "Обложка")</f>
        <v>Обложка</v>
      </c>
      <c r="V2156" s="24" t="str">
        <f>HYPERLINK("https://znanium.ru/catalog/product/1911193", "Ознакомиться")</f>
        <v>Ознакомиться</v>
      </c>
      <c r="W2156" s="8" t="s">
        <v>207</v>
      </c>
      <c r="X2156" s="6"/>
      <c r="Y2156" s="6"/>
      <c r="Z2156" s="6"/>
      <c r="AA2156" s="6" t="s">
        <v>127</v>
      </c>
      <c r="AB2156" s="8"/>
    </row>
    <row r="2157" spans="1:28" s="4" customFormat="1" ht="51.95" customHeight="1">
      <c r="A2157" s="5">
        <v>0</v>
      </c>
      <c r="B2157" s="6" t="s">
        <v>12346</v>
      </c>
      <c r="C2157" s="7">
        <v>1728</v>
      </c>
      <c r="D2157" s="8" t="s">
        <v>12347</v>
      </c>
      <c r="E2157" s="8" t="s">
        <v>12348</v>
      </c>
      <c r="F2157" s="8" t="s">
        <v>12349</v>
      </c>
      <c r="G2157" s="6" t="s">
        <v>81</v>
      </c>
      <c r="H2157" s="6" t="s">
        <v>39</v>
      </c>
      <c r="I2157" s="8" t="s">
        <v>40</v>
      </c>
      <c r="J2157" s="9">
        <v>1</v>
      </c>
      <c r="K2157" s="9">
        <v>276</v>
      </c>
      <c r="L2157" s="9">
        <v>2026</v>
      </c>
      <c r="M2157" s="8" t="s">
        <v>12350</v>
      </c>
      <c r="N2157" s="8" t="s">
        <v>42</v>
      </c>
      <c r="O2157" s="8" t="s">
        <v>246</v>
      </c>
      <c r="P2157" s="6" t="s">
        <v>44</v>
      </c>
      <c r="Q2157" s="8" t="s">
        <v>45</v>
      </c>
      <c r="R2157" s="10" t="s">
        <v>12351</v>
      </c>
      <c r="S2157" s="11"/>
      <c r="T2157" s="6"/>
      <c r="U2157" s="24" t="str">
        <f>HYPERLINK("https://media.infra-m.ru/2214/2214235/cover/2214235.jpg", "Обложка")</f>
        <v>Обложка</v>
      </c>
      <c r="V2157" s="24" t="str">
        <f>HYPERLINK("https://znanium.ru/catalog/product/2214235", "Ознакомиться")</f>
        <v>Ознакомиться</v>
      </c>
      <c r="W2157" s="8" t="s">
        <v>6857</v>
      </c>
      <c r="X2157" s="6"/>
      <c r="Y2157" s="6"/>
      <c r="Z2157" s="6"/>
      <c r="AA2157" s="6" t="s">
        <v>369</v>
      </c>
      <c r="AB2157" s="8"/>
    </row>
    <row r="2158" spans="1:28" s="4" customFormat="1" ht="51.95" customHeight="1">
      <c r="A2158" s="5">
        <v>0</v>
      </c>
      <c r="B2158" s="6" t="s">
        <v>12352</v>
      </c>
      <c r="C2158" s="7">
        <v>2492.4</v>
      </c>
      <c r="D2158" s="8" t="s">
        <v>12353</v>
      </c>
      <c r="E2158" s="8" t="s">
        <v>12354</v>
      </c>
      <c r="F2158" s="8" t="s">
        <v>12355</v>
      </c>
      <c r="G2158" s="6" t="s">
        <v>38</v>
      </c>
      <c r="H2158" s="6" t="s">
        <v>39</v>
      </c>
      <c r="I2158" s="8" t="s">
        <v>282</v>
      </c>
      <c r="J2158" s="9">
        <v>1</v>
      </c>
      <c r="K2158" s="9">
        <v>320</v>
      </c>
      <c r="L2158" s="9">
        <v>2025</v>
      </c>
      <c r="M2158" s="8" t="s">
        <v>12356</v>
      </c>
      <c r="N2158" s="8" t="s">
        <v>42</v>
      </c>
      <c r="O2158" s="8" t="s">
        <v>246</v>
      </c>
      <c r="P2158" s="6" t="s">
        <v>239</v>
      </c>
      <c r="Q2158" s="8" t="s">
        <v>45</v>
      </c>
      <c r="R2158" s="10" t="s">
        <v>12357</v>
      </c>
      <c r="S2158" s="11"/>
      <c r="T2158" s="6"/>
      <c r="U2158" s="24" t="str">
        <f>HYPERLINK("https://media.infra-m.ru/2188/2188758/cover/2188758.jpg", "Обложка")</f>
        <v>Обложка</v>
      </c>
      <c r="V2158" s="24" t="str">
        <f>HYPERLINK("https://znanium.ru/catalog/product/1907577", "Ознакомиться")</f>
        <v>Ознакомиться</v>
      </c>
      <c r="W2158" s="8" t="s">
        <v>1543</v>
      </c>
      <c r="X2158" s="6"/>
      <c r="Y2158" s="6"/>
      <c r="Z2158" s="6"/>
      <c r="AA2158" s="6" t="s">
        <v>48</v>
      </c>
      <c r="AB2158" s="8"/>
    </row>
    <row r="2159" spans="1:28" s="4" customFormat="1" ht="44.1" customHeight="1">
      <c r="A2159" s="5">
        <v>0</v>
      </c>
      <c r="B2159" s="6" t="s">
        <v>12358</v>
      </c>
      <c r="C2159" s="7">
        <v>1500</v>
      </c>
      <c r="D2159" s="8" t="s">
        <v>12359</v>
      </c>
      <c r="E2159" s="8" t="s">
        <v>12360</v>
      </c>
      <c r="F2159" s="8" t="s">
        <v>12361</v>
      </c>
      <c r="G2159" s="6" t="s">
        <v>38</v>
      </c>
      <c r="H2159" s="6" t="s">
        <v>39</v>
      </c>
      <c r="I2159" s="8" t="s">
        <v>40</v>
      </c>
      <c r="J2159" s="9">
        <v>1</v>
      </c>
      <c r="K2159" s="9">
        <v>270</v>
      </c>
      <c r="L2159" s="9">
        <v>2024</v>
      </c>
      <c r="M2159" s="8" t="s">
        <v>12362</v>
      </c>
      <c r="N2159" s="8" t="s">
        <v>42</v>
      </c>
      <c r="O2159" s="8" t="s">
        <v>1035</v>
      </c>
      <c r="P2159" s="6" t="s">
        <v>44</v>
      </c>
      <c r="Q2159" s="8" t="s">
        <v>45</v>
      </c>
      <c r="R2159" s="10" t="s">
        <v>1036</v>
      </c>
      <c r="S2159" s="11"/>
      <c r="T2159" s="6"/>
      <c r="U2159" s="24" t="str">
        <f>HYPERLINK("https://media.infra-m.ru/2086/2086387/cover/2086387.jpg", "Обложка")</f>
        <v>Обложка</v>
      </c>
      <c r="V2159" s="24" t="str">
        <f>HYPERLINK("https://znanium.ru/catalog/product/2086387", "Ознакомиться")</f>
        <v>Ознакомиться</v>
      </c>
      <c r="W2159" s="8" t="s">
        <v>3715</v>
      </c>
      <c r="X2159" s="6"/>
      <c r="Y2159" s="6"/>
      <c r="Z2159" s="6"/>
      <c r="AA2159" s="6" t="s">
        <v>377</v>
      </c>
      <c r="AB2159" s="8"/>
    </row>
    <row r="2160" spans="1:28" s="4" customFormat="1" ht="44.1" customHeight="1">
      <c r="A2160" s="5">
        <v>0</v>
      </c>
      <c r="B2160" s="6" t="s">
        <v>12363</v>
      </c>
      <c r="C2160" s="7">
        <v>1936.8</v>
      </c>
      <c r="D2160" s="8" t="s">
        <v>12364</v>
      </c>
      <c r="E2160" s="8" t="s">
        <v>12365</v>
      </c>
      <c r="F2160" s="8" t="s">
        <v>12366</v>
      </c>
      <c r="G2160" s="6" t="s">
        <v>81</v>
      </c>
      <c r="H2160" s="6" t="s">
        <v>39</v>
      </c>
      <c r="I2160" s="8" t="s">
        <v>164</v>
      </c>
      <c r="J2160" s="9">
        <v>1</v>
      </c>
      <c r="K2160" s="9">
        <v>344</v>
      </c>
      <c r="L2160" s="9">
        <v>2024</v>
      </c>
      <c r="M2160" s="8" t="s">
        <v>12367</v>
      </c>
      <c r="N2160" s="8" t="s">
        <v>42</v>
      </c>
      <c r="O2160" s="8" t="s">
        <v>246</v>
      </c>
      <c r="P2160" s="6" t="s">
        <v>44</v>
      </c>
      <c r="Q2160" s="8" t="s">
        <v>45</v>
      </c>
      <c r="R2160" s="10" t="s">
        <v>190</v>
      </c>
      <c r="S2160" s="11"/>
      <c r="T2160" s="6"/>
      <c r="U2160" s="24" t="str">
        <f>HYPERLINK("https://media.infra-m.ru/2136/2136029/cover/2136029.jpg", "Обложка")</f>
        <v>Обложка</v>
      </c>
      <c r="V2160" s="24" t="str">
        <f>HYPERLINK("https://znanium.ru/catalog/product/1939098", "Ознакомиться")</f>
        <v>Ознакомиться</v>
      </c>
      <c r="W2160" s="8" t="s">
        <v>167</v>
      </c>
      <c r="X2160" s="6"/>
      <c r="Y2160" s="6"/>
      <c r="Z2160" s="6"/>
      <c r="AA2160" s="6" t="s">
        <v>199</v>
      </c>
      <c r="AB2160" s="8"/>
    </row>
    <row r="2161" spans="1:28" s="4" customFormat="1" ht="51.95" customHeight="1">
      <c r="A2161" s="5">
        <v>0</v>
      </c>
      <c r="B2161" s="6" t="s">
        <v>12368</v>
      </c>
      <c r="C2161" s="7">
        <v>1908</v>
      </c>
      <c r="D2161" s="8" t="s">
        <v>12369</v>
      </c>
      <c r="E2161" s="8" t="s">
        <v>12370</v>
      </c>
      <c r="F2161" s="8" t="s">
        <v>12371</v>
      </c>
      <c r="G2161" s="6" t="s">
        <v>81</v>
      </c>
      <c r="H2161" s="6" t="s">
        <v>571</v>
      </c>
      <c r="I2161" s="8"/>
      <c r="J2161" s="9">
        <v>1</v>
      </c>
      <c r="K2161" s="9">
        <v>304</v>
      </c>
      <c r="L2161" s="9">
        <v>2025</v>
      </c>
      <c r="M2161" s="8" t="s">
        <v>12372</v>
      </c>
      <c r="N2161" s="8" t="s">
        <v>42</v>
      </c>
      <c r="O2161" s="8" t="s">
        <v>189</v>
      </c>
      <c r="P2161" s="6" t="s">
        <v>44</v>
      </c>
      <c r="Q2161" s="8" t="s">
        <v>45</v>
      </c>
      <c r="R2161" s="10" t="s">
        <v>12373</v>
      </c>
      <c r="S2161" s="11"/>
      <c r="T2161" s="6"/>
      <c r="U2161" s="24" t="str">
        <f>HYPERLINK("https://media.infra-m.ru/2204/2204274/cover/2204274.jpg", "Обложка")</f>
        <v>Обложка</v>
      </c>
      <c r="V2161" s="24" t="str">
        <f>HYPERLINK("https://znanium.ru/catalog/product/2204274", "Ознакомиться")</f>
        <v>Ознакомиться</v>
      </c>
      <c r="W2161" s="8"/>
      <c r="X2161" s="6"/>
      <c r="Y2161" s="6"/>
      <c r="Z2161" s="6"/>
      <c r="AA2161" s="6" t="s">
        <v>119</v>
      </c>
      <c r="AB2161" s="8"/>
    </row>
    <row r="2162" spans="1:28" s="4" customFormat="1" ht="42" customHeight="1">
      <c r="A2162" s="5">
        <v>0</v>
      </c>
      <c r="B2162" s="6" t="s">
        <v>12374</v>
      </c>
      <c r="C2162" s="7">
        <v>1824</v>
      </c>
      <c r="D2162" s="8" t="s">
        <v>12375</v>
      </c>
      <c r="E2162" s="8" t="s">
        <v>12376</v>
      </c>
      <c r="F2162" s="8" t="s">
        <v>12333</v>
      </c>
      <c r="G2162" s="6" t="s">
        <v>38</v>
      </c>
      <c r="H2162" s="6" t="s">
        <v>39</v>
      </c>
      <c r="I2162" s="8" t="s">
        <v>40</v>
      </c>
      <c r="J2162" s="9">
        <v>1</v>
      </c>
      <c r="K2162" s="9">
        <v>303</v>
      </c>
      <c r="L2162" s="9">
        <v>2025</v>
      </c>
      <c r="M2162" s="8" t="s">
        <v>12377</v>
      </c>
      <c r="N2162" s="8" t="s">
        <v>42</v>
      </c>
      <c r="O2162" s="8" t="s">
        <v>189</v>
      </c>
      <c r="P2162" s="6" t="s">
        <v>44</v>
      </c>
      <c r="Q2162" s="8" t="s">
        <v>45</v>
      </c>
      <c r="R2162" s="10" t="s">
        <v>12378</v>
      </c>
      <c r="S2162" s="11"/>
      <c r="T2162" s="6"/>
      <c r="U2162" s="24" t="str">
        <f>HYPERLINK("https://media.infra-m.ru/2137/2137593/cover/2137593.jpg", "Обложка")</f>
        <v>Обложка</v>
      </c>
      <c r="V2162" s="24" t="str">
        <f>HYPERLINK("https://znanium.ru/catalog/product/2137593", "Ознакомиться")</f>
        <v>Ознакомиться</v>
      </c>
      <c r="W2162" s="8" t="s">
        <v>1594</v>
      </c>
      <c r="X2162" s="6"/>
      <c r="Y2162" s="6"/>
      <c r="Z2162" s="6"/>
      <c r="AA2162" s="6" t="s">
        <v>159</v>
      </c>
      <c r="AB2162" s="8"/>
    </row>
    <row r="2163" spans="1:28" s="4" customFormat="1" ht="42" customHeight="1">
      <c r="A2163" s="5">
        <v>0</v>
      </c>
      <c r="B2163" s="6" t="s">
        <v>12379</v>
      </c>
      <c r="C2163" s="7">
        <v>1068</v>
      </c>
      <c r="D2163" s="8" t="s">
        <v>12380</v>
      </c>
      <c r="E2163" s="8" t="s">
        <v>12381</v>
      </c>
      <c r="F2163" s="8" t="s">
        <v>1222</v>
      </c>
      <c r="G2163" s="6" t="s">
        <v>38</v>
      </c>
      <c r="H2163" s="6" t="s">
        <v>39</v>
      </c>
      <c r="I2163" s="8" t="s">
        <v>40</v>
      </c>
      <c r="J2163" s="9">
        <v>1</v>
      </c>
      <c r="K2163" s="9">
        <v>229</v>
      </c>
      <c r="L2163" s="9">
        <v>2021</v>
      </c>
      <c r="M2163" s="8" t="s">
        <v>12382</v>
      </c>
      <c r="N2163" s="8" t="s">
        <v>42</v>
      </c>
      <c r="O2163" s="8" t="s">
        <v>189</v>
      </c>
      <c r="P2163" s="6" t="s">
        <v>44</v>
      </c>
      <c r="Q2163" s="8" t="s">
        <v>45</v>
      </c>
      <c r="R2163" s="10" t="s">
        <v>12383</v>
      </c>
      <c r="S2163" s="11"/>
      <c r="T2163" s="6"/>
      <c r="U2163" s="24" t="str">
        <f>HYPERLINK("https://media.infra-m.ru/1194/1194747/cover/1194747.jpg", "Обложка")</f>
        <v>Обложка</v>
      </c>
      <c r="V2163" s="24" t="str">
        <f>HYPERLINK("https://znanium.ru/catalog/product/1194747", "Ознакомиться")</f>
        <v>Ознакомиться</v>
      </c>
      <c r="W2163" s="8" t="s">
        <v>1225</v>
      </c>
      <c r="X2163" s="6"/>
      <c r="Y2163" s="6"/>
      <c r="Z2163" s="6"/>
      <c r="AA2163" s="6" t="s">
        <v>199</v>
      </c>
      <c r="AB2163" s="8"/>
    </row>
    <row r="2164" spans="1:28" s="4" customFormat="1" ht="44.1" customHeight="1">
      <c r="A2164" s="5">
        <v>0</v>
      </c>
      <c r="B2164" s="6" t="s">
        <v>12384</v>
      </c>
      <c r="C2164" s="13">
        <v>984</v>
      </c>
      <c r="D2164" s="8" t="s">
        <v>12385</v>
      </c>
      <c r="E2164" s="8" t="s">
        <v>12386</v>
      </c>
      <c r="F2164" s="8" t="s">
        <v>2470</v>
      </c>
      <c r="G2164" s="6" t="s">
        <v>81</v>
      </c>
      <c r="H2164" s="6" t="s">
        <v>39</v>
      </c>
      <c r="I2164" s="8" t="s">
        <v>40</v>
      </c>
      <c r="J2164" s="9">
        <v>1</v>
      </c>
      <c r="K2164" s="9">
        <v>157</v>
      </c>
      <c r="L2164" s="9">
        <v>2025</v>
      </c>
      <c r="M2164" s="8" t="s">
        <v>12387</v>
      </c>
      <c r="N2164" s="8" t="s">
        <v>42</v>
      </c>
      <c r="O2164" s="8" t="s">
        <v>189</v>
      </c>
      <c r="P2164" s="6" t="s">
        <v>44</v>
      </c>
      <c r="Q2164" s="8" t="s">
        <v>45</v>
      </c>
      <c r="R2164" s="10" t="s">
        <v>1419</v>
      </c>
      <c r="S2164" s="11"/>
      <c r="T2164" s="6"/>
      <c r="U2164" s="24" t="str">
        <f>HYPERLINK("https://media.infra-m.ru/2207/2207147/cover/2207147.jpg", "Обложка")</f>
        <v>Обложка</v>
      </c>
      <c r="V2164" s="24" t="str">
        <f>HYPERLINK("https://znanium.ru/catalog/product/2207147", "Ознакомиться")</f>
        <v>Ознакомиться</v>
      </c>
      <c r="W2164" s="8" t="s">
        <v>2473</v>
      </c>
      <c r="X2164" s="6"/>
      <c r="Y2164" s="6"/>
      <c r="Z2164" s="6"/>
      <c r="AA2164" s="6" t="s">
        <v>199</v>
      </c>
      <c r="AB2164" s="8"/>
    </row>
    <row r="2165" spans="1:28" s="4" customFormat="1" ht="42" customHeight="1">
      <c r="A2165" s="5">
        <v>0</v>
      </c>
      <c r="B2165" s="6" t="s">
        <v>12388</v>
      </c>
      <c r="C2165" s="7">
        <v>2028</v>
      </c>
      <c r="D2165" s="8" t="s">
        <v>12389</v>
      </c>
      <c r="E2165" s="8" t="s">
        <v>12390</v>
      </c>
      <c r="F2165" s="8" t="s">
        <v>12391</v>
      </c>
      <c r="G2165" s="6" t="s">
        <v>132</v>
      </c>
      <c r="H2165" s="6" t="s">
        <v>39</v>
      </c>
      <c r="I2165" s="8" t="s">
        <v>40</v>
      </c>
      <c r="J2165" s="9">
        <v>1</v>
      </c>
      <c r="K2165" s="9">
        <v>359</v>
      </c>
      <c r="L2165" s="9">
        <v>2024</v>
      </c>
      <c r="M2165" s="8" t="s">
        <v>12392</v>
      </c>
      <c r="N2165" s="8" t="s">
        <v>42</v>
      </c>
      <c r="O2165" s="8" t="s">
        <v>246</v>
      </c>
      <c r="P2165" s="6" t="s">
        <v>44</v>
      </c>
      <c r="Q2165" s="8" t="s">
        <v>45</v>
      </c>
      <c r="R2165" s="10" t="s">
        <v>12393</v>
      </c>
      <c r="S2165" s="11"/>
      <c r="T2165" s="6"/>
      <c r="U2165" s="24" t="str">
        <f>HYPERLINK("https://media.infra-m.ru/2130/2130671/cover/2130671.jpg", "Обложка")</f>
        <v>Обложка</v>
      </c>
      <c r="V2165" s="24" t="str">
        <f>HYPERLINK("https://znanium.ru/catalog/product/2130671", "Ознакомиться")</f>
        <v>Ознакомиться</v>
      </c>
      <c r="W2165" s="8" t="s">
        <v>2473</v>
      </c>
      <c r="X2165" s="6"/>
      <c r="Y2165" s="6"/>
      <c r="Z2165" s="6"/>
      <c r="AA2165" s="6" t="s">
        <v>58</v>
      </c>
      <c r="AB2165" s="8"/>
    </row>
    <row r="2166" spans="1:28" s="4" customFormat="1" ht="51.95" customHeight="1">
      <c r="A2166" s="5">
        <v>0</v>
      </c>
      <c r="B2166" s="6" t="s">
        <v>12394</v>
      </c>
      <c r="C2166" s="7">
        <v>1140</v>
      </c>
      <c r="D2166" s="8" t="s">
        <v>12395</v>
      </c>
      <c r="E2166" s="8" t="s">
        <v>12396</v>
      </c>
      <c r="F2166" s="8" t="s">
        <v>12397</v>
      </c>
      <c r="G2166" s="6" t="s">
        <v>38</v>
      </c>
      <c r="H2166" s="6" t="s">
        <v>571</v>
      </c>
      <c r="I2166" s="8"/>
      <c r="J2166" s="9">
        <v>1</v>
      </c>
      <c r="K2166" s="9">
        <v>176</v>
      </c>
      <c r="L2166" s="9">
        <v>2025</v>
      </c>
      <c r="M2166" s="8" t="s">
        <v>12398</v>
      </c>
      <c r="N2166" s="8" t="s">
        <v>42</v>
      </c>
      <c r="O2166" s="8" t="s">
        <v>246</v>
      </c>
      <c r="P2166" s="6" t="s">
        <v>44</v>
      </c>
      <c r="Q2166" s="8" t="s">
        <v>1152</v>
      </c>
      <c r="R2166" s="10" t="s">
        <v>12399</v>
      </c>
      <c r="S2166" s="11"/>
      <c r="T2166" s="6" t="s">
        <v>1080</v>
      </c>
      <c r="U2166" s="24" t="str">
        <f>HYPERLINK("https://media.infra-m.ru/2208/2208461/cover/2208461.jpg", "Обложка")</f>
        <v>Обложка</v>
      </c>
      <c r="V2166" s="24" t="str">
        <f>HYPERLINK("https://znanium.ru/catalog/product/2208461", "Ознакомиться")</f>
        <v>Ознакомиться</v>
      </c>
      <c r="W2166" s="8" t="s">
        <v>207</v>
      </c>
      <c r="X2166" s="6"/>
      <c r="Y2166" s="6"/>
      <c r="Z2166" s="6"/>
      <c r="AA2166" s="6" t="s">
        <v>377</v>
      </c>
      <c r="AB2166" s="8"/>
    </row>
    <row r="2167" spans="1:28" s="4" customFormat="1" ht="51.95" customHeight="1">
      <c r="A2167" s="5">
        <v>0</v>
      </c>
      <c r="B2167" s="6" t="s">
        <v>12400</v>
      </c>
      <c r="C2167" s="7">
        <v>1128</v>
      </c>
      <c r="D2167" s="8" t="s">
        <v>12401</v>
      </c>
      <c r="E2167" s="8" t="s">
        <v>12402</v>
      </c>
      <c r="F2167" s="8" t="s">
        <v>12403</v>
      </c>
      <c r="G2167" s="6" t="s">
        <v>38</v>
      </c>
      <c r="H2167" s="6" t="s">
        <v>182</v>
      </c>
      <c r="I2167" s="8" t="s">
        <v>40</v>
      </c>
      <c r="J2167" s="9">
        <v>1</v>
      </c>
      <c r="K2167" s="9">
        <v>274</v>
      </c>
      <c r="L2167" s="9">
        <v>2019</v>
      </c>
      <c r="M2167" s="8" t="s">
        <v>12404</v>
      </c>
      <c r="N2167" s="8" t="s">
        <v>42</v>
      </c>
      <c r="O2167" s="8" t="s">
        <v>246</v>
      </c>
      <c r="P2167" s="6" t="s">
        <v>44</v>
      </c>
      <c r="Q2167" s="8" t="s">
        <v>45</v>
      </c>
      <c r="R2167" s="10" t="s">
        <v>12405</v>
      </c>
      <c r="S2167" s="11"/>
      <c r="T2167" s="6" t="s">
        <v>1080</v>
      </c>
      <c r="U2167" s="24" t="str">
        <f>HYPERLINK("https://media.infra-m.ru/1010/1010120/cover/1010120.jpg", "Обложка")</f>
        <v>Обложка</v>
      </c>
      <c r="V2167" s="24" t="str">
        <f>HYPERLINK("https://znanium.ru/catalog/product/1010120", "Ознакомиться")</f>
        <v>Ознакомиться</v>
      </c>
      <c r="W2167" s="8" t="s">
        <v>207</v>
      </c>
      <c r="X2167" s="6"/>
      <c r="Y2167" s="6"/>
      <c r="Z2167" s="6"/>
      <c r="AA2167" s="6" t="s">
        <v>369</v>
      </c>
      <c r="AB2167" s="8"/>
    </row>
    <row r="2168" spans="1:28" s="4" customFormat="1" ht="42" customHeight="1">
      <c r="A2168" s="5">
        <v>0</v>
      </c>
      <c r="B2168" s="6" t="s">
        <v>12406</v>
      </c>
      <c r="C2168" s="13">
        <v>960</v>
      </c>
      <c r="D2168" s="8" t="s">
        <v>12407</v>
      </c>
      <c r="E2168" s="8" t="s">
        <v>12408</v>
      </c>
      <c r="F2168" s="8" t="s">
        <v>12409</v>
      </c>
      <c r="G2168" s="6" t="s">
        <v>38</v>
      </c>
      <c r="H2168" s="6" t="s">
        <v>39</v>
      </c>
      <c r="I2168" s="8" t="s">
        <v>40</v>
      </c>
      <c r="J2168" s="9">
        <v>1</v>
      </c>
      <c r="K2168" s="9">
        <v>154</v>
      </c>
      <c r="L2168" s="9">
        <v>2025</v>
      </c>
      <c r="M2168" s="8" t="s">
        <v>12410</v>
      </c>
      <c r="N2168" s="8" t="s">
        <v>42</v>
      </c>
      <c r="O2168" s="8" t="s">
        <v>189</v>
      </c>
      <c r="P2168" s="6" t="s">
        <v>44</v>
      </c>
      <c r="Q2168" s="8" t="s">
        <v>45</v>
      </c>
      <c r="R2168" s="10" t="s">
        <v>2472</v>
      </c>
      <c r="S2168" s="11"/>
      <c r="T2168" s="6"/>
      <c r="U2168" s="24" t="str">
        <f>HYPERLINK("https://media.infra-m.ru/2163/2163999/cover/2163999.jpg", "Обложка")</f>
        <v>Обложка</v>
      </c>
      <c r="V2168" s="24" t="str">
        <f>HYPERLINK("https://znanium.ru/catalog/product/2163999", "Ознакомиться")</f>
        <v>Ознакомиться</v>
      </c>
      <c r="W2168" s="8" t="s">
        <v>5156</v>
      </c>
      <c r="X2168" s="6"/>
      <c r="Y2168" s="6"/>
      <c r="Z2168" s="6"/>
      <c r="AA2168" s="6" t="s">
        <v>377</v>
      </c>
      <c r="AB2168" s="8"/>
    </row>
    <row r="2169" spans="1:28" s="4" customFormat="1" ht="42" customHeight="1">
      <c r="A2169" s="5">
        <v>0</v>
      </c>
      <c r="B2169" s="6" t="s">
        <v>12411</v>
      </c>
      <c r="C2169" s="7">
        <v>2760</v>
      </c>
      <c r="D2169" s="8" t="s">
        <v>12412</v>
      </c>
      <c r="E2169" s="8" t="s">
        <v>12413</v>
      </c>
      <c r="F2169" s="8" t="s">
        <v>12414</v>
      </c>
      <c r="G2169" s="6" t="s">
        <v>38</v>
      </c>
      <c r="H2169" s="6" t="s">
        <v>571</v>
      </c>
      <c r="I2169" s="8"/>
      <c r="J2169" s="9">
        <v>1</v>
      </c>
      <c r="K2169" s="9">
        <v>512</v>
      </c>
      <c r="L2169" s="9">
        <v>2023</v>
      </c>
      <c r="M2169" s="8" t="s">
        <v>12415</v>
      </c>
      <c r="N2169" s="8" t="s">
        <v>42</v>
      </c>
      <c r="O2169" s="8" t="s">
        <v>65</v>
      </c>
      <c r="P2169" s="6" t="s">
        <v>44</v>
      </c>
      <c r="Q2169" s="8" t="s">
        <v>45</v>
      </c>
      <c r="R2169" s="10" t="s">
        <v>12416</v>
      </c>
      <c r="S2169" s="11"/>
      <c r="T2169" s="6"/>
      <c r="U2169" s="24" t="str">
        <f>HYPERLINK("https://media.infra-m.ru/2020/2020557/cover/2020557.jpg", "Обложка")</f>
        <v>Обложка</v>
      </c>
      <c r="V2169" s="24" t="str">
        <f>HYPERLINK("https://znanium.ru/catalog/product/2020557", "Ознакомиться")</f>
        <v>Ознакомиться</v>
      </c>
      <c r="W2169" s="8" t="s">
        <v>565</v>
      </c>
      <c r="X2169" s="6"/>
      <c r="Y2169" s="6"/>
      <c r="Z2169" s="6"/>
      <c r="AA2169" s="6" t="s">
        <v>48</v>
      </c>
      <c r="AB2169" s="8"/>
    </row>
    <row r="2170" spans="1:28" s="4" customFormat="1" ht="51.95" customHeight="1">
      <c r="A2170" s="5">
        <v>0</v>
      </c>
      <c r="B2170" s="6" t="s">
        <v>12417</v>
      </c>
      <c r="C2170" s="13">
        <v>299.89999999999998</v>
      </c>
      <c r="D2170" s="8" t="s">
        <v>12418</v>
      </c>
      <c r="E2170" s="8" t="s">
        <v>12419</v>
      </c>
      <c r="F2170" s="8" t="s">
        <v>1891</v>
      </c>
      <c r="G2170" s="6" t="s">
        <v>38</v>
      </c>
      <c r="H2170" s="6" t="s">
        <v>39</v>
      </c>
      <c r="I2170" s="8"/>
      <c r="J2170" s="9">
        <v>1</v>
      </c>
      <c r="K2170" s="9">
        <v>84</v>
      </c>
      <c r="L2170" s="9">
        <v>2020</v>
      </c>
      <c r="M2170" s="8" t="s">
        <v>12420</v>
      </c>
      <c r="N2170" s="8" t="s">
        <v>42</v>
      </c>
      <c r="O2170" s="8" t="s">
        <v>1315</v>
      </c>
      <c r="P2170" s="6" t="s">
        <v>1895</v>
      </c>
      <c r="Q2170" s="8" t="s">
        <v>45</v>
      </c>
      <c r="R2170" s="10" t="s">
        <v>12421</v>
      </c>
      <c r="S2170" s="11"/>
      <c r="T2170" s="6"/>
      <c r="U2170" s="24" t="str">
        <f>HYPERLINK("https://media.infra-m.ru/1077/1077296/cover/1077296.jpg", "Обложка")</f>
        <v>Обложка</v>
      </c>
      <c r="V2170" s="24" t="str">
        <f>HYPERLINK("https://znanium.ru/catalog/product/2218219", "Ознакомиться")</f>
        <v>Ознакомиться</v>
      </c>
      <c r="W2170" s="8"/>
      <c r="X2170" s="6"/>
      <c r="Y2170" s="6"/>
      <c r="Z2170" s="6"/>
      <c r="AA2170" s="6" t="s">
        <v>177</v>
      </c>
      <c r="AB2170" s="8"/>
    </row>
    <row r="2171" spans="1:28" s="4" customFormat="1" ht="51.95" customHeight="1">
      <c r="A2171" s="5">
        <v>0</v>
      </c>
      <c r="B2171" s="6" t="s">
        <v>12422</v>
      </c>
      <c r="C2171" s="13">
        <v>180</v>
      </c>
      <c r="D2171" s="8" t="s">
        <v>12423</v>
      </c>
      <c r="E2171" s="8" t="s">
        <v>12424</v>
      </c>
      <c r="F2171" s="8" t="s">
        <v>1891</v>
      </c>
      <c r="G2171" s="6" t="s">
        <v>1892</v>
      </c>
      <c r="H2171" s="6" t="s">
        <v>39</v>
      </c>
      <c r="I2171" s="8"/>
      <c r="J2171" s="9">
        <v>1</v>
      </c>
      <c r="K2171" s="9">
        <v>38</v>
      </c>
      <c r="L2171" s="9">
        <v>2019</v>
      </c>
      <c r="M2171" s="8" t="s">
        <v>12420</v>
      </c>
      <c r="N2171" s="8" t="s">
        <v>42</v>
      </c>
      <c r="O2171" s="8" t="s">
        <v>1315</v>
      </c>
      <c r="P2171" s="6" t="s">
        <v>1895</v>
      </c>
      <c r="Q2171" s="8" t="s">
        <v>45</v>
      </c>
      <c r="R2171" s="10" t="s">
        <v>12421</v>
      </c>
      <c r="S2171" s="11"/>
      <c r="T2171" s="6"/>
      <c r="U2171" s="24" t="str">
        <f>HYPERLINK("https://media.infra-m.ru/0990/0990042/cover/990042.jpg", "Обложка")</f>
        <v>Обложка</v>
      </c>
      <c r="V2171" s="24" t="str">
        <f>HYPERLINK("https://znanium.ru/catalog/product/2218219", "Ознакомиться")</f>
        <v>Ознакомиться</v>
      </c>
      <c r="W2171" s="8"/>
      <c r="X2171" s="6"/>
      <c r="Y2171" s="6"/>
      <c r="Z2171" s="6"/>
      <c r="AA2171" s="6" t="s">
        <v>369</v>
      </c>
      <c r="AB2171" s="8"/>
    </row>
    <row r="2172" spans="1:28" s="4" customFormat="1" ht="51.95" customHeight="1">
      <c r="A2172" s="5">
        <v>0</v>
      </c>
      <c r="B2172" s="6" t="s">
        <v>12425</v>
      </c>
      <c r="C2172" s="13">
        <v>564</v>
      </c>
      <c r="D2172" s="8" t="s">
        <v>12426</v>
      </c>
      <c r="E2172" s="8" t="s">
        <v>12427</v>
      </c>
      <c r="F2172" s="8" t="s">
        <v>1891</v>
      </c>
      <c r="G2172" s="6" t="s">
        <v>38</v>
      </c>
      <c r="H2172" s="6" t="s">
        <v>39</v>
      </c>
      <c r="I2172" s="8"/>
      <c r="J2172" s="9">
        <v>1</v>
      </c>
      <c r="K2172" s="9">
        <v>101</v>
      </c>
      <c r="L2172" s="9">
        <v>2024</v>
      </c>
      <c r="M2172" s="8" t="s">
        <v>12428</v>
      </c>
      <c r="N2172" s="8" t="s">
        <v>42</v>
      </c>
      <c r="O2172" s="8" t="s">
        <v>1315</v>
      </c>
      <c r="P2172" s="6" t="s">
        <v>1895</v>
      </c>
      <c r="Q2172" s="8" t="s">
        <v>45</v>
      </c>
      <c r="R2172" s="10" t="s">
        <v>12421</v>
      </c>
      <c r="S2172" s="11"/>
      <c r="T2172" s="6" t="s">
        <v>1080</v>
      </c>
      <c r="U2172" s="24" t="str">
        <f>HYPERLINK("https://media.infra-m.ru/2119/2119920/cover/2119920.jpg", "Обложка")</f>
        <v>Обложка</v>
      </c>
      <c r="V2172" s="24" t="str">
        <f>HYPERLINK("https://znanium.ru/catalog/product/2218219", "Ознакомиться")</f>
        <v>Ознакомиться</v>
      </c>
      <c r="W2172" s="8"/>
      <c r="X2172" s="6"/>
      <c r="Y2172" s="6"/>
      <c r="Z2172" s="6"/>
      <c r="AA2172" s="6" t="s">
        <v>4639</v>
      </c>
      <c r="AB2172" s="8"/>
    </row>
    <row r="2173" spans="1:28" s="4" customFormat="1" ht="51.95" customHeight="1">
      <c r="A2173" s="5">
        <v>0</v>
      </c>
      <c r="B2173" s="6" t="s">
        <v>12429</v>
      </c>
      <c r="C2173" s="13">
        <v>636</v>
      </c>
      <c r="D2173" s="8" t="s">
        <v>12430</v>
      </c>
      <c r="E2173" s="8" t="s">
        <v>12431</v>
      </c>
      <c r="F2173" s="8" t="s">
        <v>1891</v>
      </c>
      <c r="G2173" s="6" t="s">
        <v>38</v>
      </c>
      <c r="H2173" s="6" t="s">
        <v>39</v>
      </c>
      <c r="I2173" s="8" t="s">
        <v>1893</v>
      </c>
      <c r="J2173" s="9">
        <v>1</v>
      </c>
      <c r="K2173" s="9">
        <v>101</v>
      </c>
      <c r="L2173" s="9">
        <v>2026</v>
      </c>
      <c r="M2173" s="8" t="s">
        <v>12432</v>
      </c>
      <c r="N2173" s="8" t="s">
        <v>42</v>
      </c>
      <c r="O2173" s="8" t="s">
        <v>1315</v>
      </c>
      <c r="P2173" s="6" t="s">
        <v>1895</v>
      </c>
      <c r="Q2173" s="8" t="s">
        <v>45</v>
      </c>
      <c r="R2173" s="10" t="s">
        <v>12421</v>
      </c>
      <c r="S2173" s="11"/>
      <c r="T2173" s="6" t="s">
        <v>1080</v>
      </c>
      <c r="U2173" s="24" t="str">
        <f>HYPERLINK("https://media.infra-m.ru/2218/2218219/cover/2218219.jpg", "Обложка")</f>
        <v>Обложка</v>
      </c>
      <c r="V2173" s="24" t="str">
        <f>HYPERLINK("https://znanium.ru/catalog/product/2218219", "Ознакомиться")</f>
        <v>Ознакомиться</v>
      </c>
      <c r="W2173" s="8"/>
      <c r="X2173" s="6"/>
      <c r="Y2173" s="6"/>
      <c r="Z2173" s="6"/>
      <c r="AA2173" s="6" t="s">
        <v>12433</v>
      </c>
      <c r="AB2173" s="8"/>
    </row>
    <row r="2174" spans="1:28" s="4" customFormat="1" ht="51.95" customHeight="1">
      <c r="A2174" s="5">
        <v>0</v>
      </c>
      <c r="B2174" s="6" t="s">
        <v>12434</v>
      </c>
      <c r="C2174" s="7">
        <v>1584</v>
      </c>
      <c r="D2174" s="8" t="s">
        <v>12435</v>
      </c>
      <c r="E2174" s="8" t="s">
        <v>12436</v>
      </c>
      <c r="F2174" s="8" t="s">
        <v>12437</v>
      </c>
      <c r="G2174" s="6" t="s">
        <v>38</v>
      </c>
      <c r="H2174" s="6" t="s">
        <v>182</v>
      </c>
      <c r="I2174" s="8" t="s">
        <v>40</v>
      </c>
      <c r="J2174" s="9">
        <v>1</v>
      </c>
      <c r="K2174" s="9">
        <v>346</v>
      </c>
      <c r="L2174" s="9">
        <v>2022</v>
      </c>
      <c r="M2174" s="8" t="s">
        <v>12438</v>
      </c>
      <c r="N2174" s="8" t="s">
        <v>42</v>
      </c>
      <c r="O2174" s="8" t="s">
        <v>189</v>
      </c>
      <c r="P2174" s="6" t="s">
        <v>44</v>
      </c>
      <c r="Q2174" s="8" t="s">
        <v>45</v>
      </c>
      <c r="R2174" s="10" t="s">
        <v>12439</v>
      </c>
      <c r="S2174" s="11"/>
      <c r="T2174" s="6" t="s">
        <v>1080</v>
      </c>
      <c r="U2174" s="24" t="str">
        <f>HYPERLINK("https://media.infra-m.ru/1839/1839914/cover/1839914.jpg", "Обложка")</f>
        <v>Обложка</v>
      </c>
      <c r="V2174" s="24" t="str">
        <f>HYPERLINK("https://znanium.ru/catalog/product/1839914", "Ознакомиться")</f>
        <v>Ознакомиться</v>
      </c>
      <c r="W2174" s="8" t="s">
        <v>12440</v>
      </c>
      <c r="X2174" s="6"/>
      <c r="Y2174" s="6"/>
      <c r="Z2174" s="6"/>
      <c r="AA2174" s="6" t="s">
        <v>369</v>
      </c>
      <c r="AB2174" s="8"/>
    </row>
    <row r="2175" spans="1:28" s="4" customFormat="1" ht="44.1" customHeight="1">
      <c r="A2175" s="5">
        <v>0</v>
      </c>
      <c r="B2175" s="6" t="s">
        <v>12441</v>
      </c>
      <c r="C2175" s="7">
        <v>1224</v>
      </c>
      <c r="D2175" s="8" t="s">
        <v>12442</v>
      </c>
      <c r="E2175" s="8" t="s">
        <v>12443</v>
      </c>
      <c r="F2175" s="8" t="s">
        <v>12444</v>
      </c>
      <c r="G2175" s="6" t="s">
        <v>38</v>
      </c>
      <c r="H2175" s="6" t="s">
        <v>182</v>
      </c>
      <c r="I2175" s="8" t="s">
        <v>40</v>
      </c>
      <c r="J2175" s="9">
        <v>1</v>
      </c>
      <c r="K2175" s="9">
        <v>228</v>
      </c>
      <c r="L2175" s="9">
        <v>2022</v>
      </c>
      <c r="M2175" s="8" t="s">
        <v>12445</v>
      </c>
      <c r="N2175" s="8" t="s">
        <v>42</v>
      </c>
      <c r="O2175" s="8" t="s">
        <v>101</v>
      </c>
      <c r="P2175" s="6" t="s">
        <v>44</v>
      </c>
      <c r="Q2175" s="8" t="s">
        <v>45</v>
      </c>
      <c r="R2175" s="10" t="s">
        <v>936</v>
      </c>
      <c r="S2175" s="11"/>
      <c r="T2175" s="6"/>
      <c r="U2175" s="24" t="str">
        <f>HYPERLINK("https://media.infra-m.ru/1816/1816933/cover/1816933.jpg", "Обложка")</f>
        <v>Обложка</v>
      </c>
      <c r="V2175" s="24" t="str">
        <f>HYPERLINK("https://znanium.ru/catalog/product/1816933", "Ознакомиться")</f>
        <v>Ознакомиться</v>
      </c>
      <c r="W2175" s="8" t="s">
        <v>1594</v>
      </c>
      <c r="X2175" s="6"/>
      <c r="Y2175" s="6"/>
      <c r="Z2175" s="6"/>
      <c r="AA2175" s="6" t="s">
        <v>369</v>
      </c>
      <c r="AB2175" s="8"/>
    </row>
    <row r="2176" spans="1:28" s="4" customFormat="1" ht="51.95" customHeight="1">
      <c r="A2176" s="5">
        <v>0</v>
      </c>
      <c r="B2176" s="6" t="s">
        <v>12446</v>
      </c>
      <c r="C2176" s="7">
        <v>1188</v>
      </c>
      <c r="D2176" s="8" t="s">
        <v>12447</v>
      </c>
      <c r="E2176" s="8" t="s">
        <v>12448</v>
      </c>
      <c r="F2176" s="8" t="s">
        <v>12449</v>
      </c>
      <c r="G2176" s="6" t="s">
        <v>38</v>
      </c>
      <c r="H2176" s="6" t="s">
        <v>39</v>
      </c>
      <c r="I2176" s="8" t="s">
        <v>40</v>
      </c>
      <c r="J2176" s="9">
        <v>1</v>
      </c>
      <c r="K2176" s="9">
        <v>215</v>
      </c>
      <c r="L2176" s="9">
        <v>2024</v>
      </c>
      <c r="M2176" s="8" t="s">
        <v>12450</v>
      </c>
      <c r="N2176" s="8" t="s">
        <v>738</v>
      </c>
      <c r="O2176" s="8" t="s">
        <v>739</v>
      </c>
      <c r="P2176" s="6" t="s">
        <v>44</v>
      </c>
      <c r="Q2176" s="8" t="s">
        <v>45</v>
      </c>
      <c r="R2176" s="10" t="s">
        <v>12451</v>
      </c>
      <c r="S2176" s="11"/>
      <c r="T2176" s="6"/>
      <c r="U2176" s="24" t="str">
        <f>HYPERLINK("https://media.infra-m.ru/1971/1971851/cover/1971851.jpg", "Обложка")</f>
        <v>Обложка</v>
      </c>
      <c r="V2176" s="24" t="str">
        <f>HYPERLINK("https://znanium.ru/catalog/product/1971851", "Ознакомиться")</f>
        <v>Ознакомиться</v>
      </c>
      <c r="W2176" s="8" t="s">
        <v>167</v>
      </c>
      <c r="X2176" s="6"/>
      <c r="Y2176" s="6"/>
      <c r="Z2176" s="6"/>
      <c r="AA2176" s="6" t="s">
        <v>58</v>
      </c>
      <c r="AB2176" s="8"/>
    </row>
    <row r="2177" spans="1:28" s="4" customFormat="1" ht="51.95" customHeight="1">
      <c r="A2177" s="5">
        <v>0</v>
      </c>
      <c r="B2177" s="6" t="s">
        <v>12452</v>
      </c>
      <c r="C2177" s="7">
        <v>1373.9</v>
      </c>
      <c r="D2177" s="8" t="s">
        <v>12453</v>
      </c>
      <c r="E2177" s="8" t="s">
        <v>12454</v>
      </c>
      <c r="F2177" s="8" t="s">
        <v>12455</v>
      </c>
      <c r="G2177" s="6" t="s">
        <v>38</v>
      </c>
      <c r="H2177" s="6" t="s">
        <v>39</v>
      </c>
      <c r="I2177" s="8" t="s">
        <v>40</v>
      </c>
      <c r="J2177" s="9">
        <v>1</v>
      </c>
      <c r="K2177" s="9">
        <v>255</v>
      </c>
      <c r="L2177" s="9">
        <v>2023</v>
      </c>
      <c r="M2177" s="8" t="s">
        <v>12456</v>
      </c>
      <c r="N2177" s="8" t="s">
        <v>42</v>
      </c>
      <c r="O2177" s="8" t="s">
        <v>246</v>
      </c>
      <c r="P2177" s="6" t="s">
        <v>44</v>
      </c>
      <c r="Q2177" s="8" t="s">
        <v>45</v>
      </c>
      <c r="R2177" s="10" t="s">
        <v>12457</v>
      </c>
      <c r="S2177" s="11"/>
      <c r="T2177" s="6"/>
      <c r="U2177" s="24" t="str">
        <f>HYPERLINK("https://media.infra-m.ru/2001/2001699/cover/2001699.jpg", "Обложка")</f>
        <v>Обложка</v>
      </c>
      <c r="V2177" s="24" t="str">
        <f>HYPERLINK("https://znanium.ru/catalog/product/769887", "Ознакомиться")</f>
        <v>Ознакомиться</v>
      </c>
      <c r="W2177" s="8" t="s">
        <v>6418</v>
      </c>
      <c r="X2177" s="6"/>
      <c r="Y2177" s="6"/>
      <c r="Z2177" s="6"/>
      <c r="AA2177" s="6" t="s">
        <v>339</v>
      </c>
      <c r="AB2177" s="8"/>
    </row>
    <row r="2178" spans="1:28" s="4" customFormat="1" ht="42" customHeight="1">
      <c r="A2178" s="5">
        <v>0</v>
      </c>
      <c r="B2178" s="6" t="s">
        <v>12458</v>
      </c>
      <c r="C2178" s="7">
        <v>1032</v>
      </c>
      <c r="D2178" s="8" t="s">
        <v>12459</v>
      </c>
      <c r="E2178" s="8" t="s">
        <v>12460</v>
      </c>
      <c r="F2178" s="8" t="s">
        <v>12461</v>
      </c>
      <c r="G2178" s="6" t="s">
        <v>38</v>
      </c>
      <c r="H2178" s="6" t="s">
        <v>39</v>
      </c>
      <c r="I2178" s="8" t="s">
        <v>40</v>
      </c>
      <c r="J2178" s="9">
        <v>1</v>
      </c>
      <c r="K2178" s="9">
        <v>218</v>
      </c>
      <c r="L2178" s="9">
        <v>2021</v>
      </c>
      <c r="M2178" s="8" t="s">
        <v>12462</v>
      </c>
      <c r="N2178" s="8" t="s">
        <v>42</v>
      </c>
      <c r="O2178" s="8" t="s">
        <v>246</v>
      </c>
      <c r="P2178" s="6" t="s">
        <v>44</v>
      </c>
      <c r="Q2178" s="8" t="s">
        <v>45</v>
      </c>
      <c r="R2178" s="10" t="s">
        <v>1100</v>
      </c>
      <c r="S2178" s="11"/>
      <c r="T2178" s="6" t="s">
        <v>1080</v>
      </c>
      <c r="U2178" s="24" t="str">
        <f>HYPERLINK("https://media.infra-m.ru/1064/1064905/cover/1064905.jpg", "Обложка")</f>
        <v>Обложка</v>
      </c>
      <c r="V2178" s="24" t="str">
        <f>HYPERLINK("https://znanium.ru/catalog/product/1064905", "Ознакомиться")</f>
        <v>Ознакомиться</v>
      </c>
      <c r="W2178" s="8" t="s">
        <v>601</v>
      </c>
      <c r="X2178" s="6"/>
      <c r="Y2178" s="6"/>
      <c r="Z2178" s="6"/>
      <c r="AA2178" s="6" t="s">
        <v>199</v>
      </c>
      <c r="AB2178" s="8"/>
    </row>
    <row r="2179" spans="1:28" s="4" customFormat="1" ht="42" customHeight="1">
      <c r="A2179" s="5">
        <v>0</v>
      </c>
      <c r="B2179" s="6" t="s">
        <v>12463</v>
      </c>
      <c r="C2179" s="7">
        <v>1754.4</v>
      </c>
      <c r="D2179" s="8" t="s">
        <v>12464</v>
      </c>
      <c r="E2179" s="8" t="s">
        <v>12465</v>
      </c>
      <c r="F2179" s="8" t="s">
        <v>12466</v>
      </c>
      <c r="G2179" s="6" t="s">
        <v>81</v>
      </c>
      <c r="H2179" s="6" t="s">
        <v>39</v>
      </c>
      <c r="I2179" s="8" t="s">
        <v>344</v>
      </c>
      <c r="J2179" s="9">
        <v>1</v>
      </c>
      <c r="K2179" s="9">
        <v>244</v>
      </c>
      <c r="L2179" s="9">
        <v>2023</v>
      </c>
      <c r="M2179" s="8" t="s">
        <v>12467</v>
      </c>
      <c r="N2179" s="8" t="s">
        <v>42</v>
      </c>
      <c r="O2179" s="8" t="s">
        <v>65</v>
      </c>
      <c r="P2179" s="6" t="s">
        <v>44</v>
      </c>
      <c r="Q2179" s="8" t="s">
        <v>45</v>
      </c>
      <c r="R2179" s="10" t="s">
        <v>12468</v>
      </c>
      <c r="S2179" s="11"/>
      <c r="T2179" s="6"/>
      <c r="U2179" s="24" t="str">
        <f>HYPERLINK("https://media.infra-m.ru/2091/2091423/cover/2091423.jpg", "Обложка")</f>
        <v>Обложка</v>
      </c>
      <c r="V2179" s="12"/>
      <c r="W2179" s="8" t="s">
        <v>346</v>
      </c>
      <c r="X2179" s="6"/>
      <c r="Y2179" s="6"/>
      <c r="Z2179" s="6"/>
      <c r="AA2179" s="6" t="s">
        <v>68</v>
      </c>
      <c r="AB2179" s="8"/>
    </row>
    <row r="2180" spans="1:28" s="4" customFormat="1" ht="42" customHeight="1">
      <c r="A2180" s="5">
        <v>0</v>
      </c>
      <c r="B2180" s="6" t="s">
        <v>12469</v>
      </c>
      <c r="C2180" s="7">
        <v>1456.8</v>
      </c>
      <c r="D2180" s="8" t="s">
        <v>12470</v>
      </c>
      <c r="E2180" s="8" t="s">
        <v>12471</v>
      </c>
      <c r="F2180" s="8" t="s">
        <v>12472</v>
      </c>
      <c r="G2180" s="6" t="s">
        <v>38</v>
      </c>
      <c r="H2180" s="6" t="s">
        <v>39</v>
      </c>
      <c r="I2180" s="8" t="s">
        <v>164</v>
      </c>
      <c r="J2180" s="9">
        <v>1</v>
      </c>
      <c r="K2180" s="9">
        <v>258</v>
      </c>
      <c r="L2180" s="9">
        <v>2024</v>
      </c>
      <c r="M2180" s="8" t="s">
        <v>12473</v>
      </c>
      <c r="N2180" s="8" t="s">
        <v>42</v>
      </c>
      <c r="O2180" s="8" t="s">
        <v>1035</v>
      </c>
      <c r="P2180" s="6" t="s">
        <v>44</v>
      </c>
      <c r="Q2180" s="8" t="s">
        <v>45</v>
      </c>
      <c r="R2180" s="10" t="s">
        <v>1426</v>
      </c>
      <c r="S2180" s="11"/>
      <c r="T2180" s="6"/>
      <c r="U2180" s="24" t="str">
        <f>HYPERLINK("https://media.infra-m.ru/2113/2113861/cover/2113861.jpg", "Обложка")</f>
        <v>Обложка</v>
      </c>
      <c r="V2180" s="24" t="str">
        <f>HYPERLINK("https://znanium.ru/catalog/product/1976119", "Ознакомиться")</f>
        <v>Ознакомиться</v>
      </c>
      <c r="W2180" s="8" t="s">
        <v>574</v>
      </c>
      <c r="X2180" s="6"/>
      <c r="Y2180" s="6"/>
      <c r="Z2180" s="6"/>
      <c r="AA2180" s="6" t="s">
        <v>111</v>
      </c>
      <c r="AB2180" s="8"/>
    </row>
    <row r="2181" spans="1:28" s="4" customFormat="1" ht="42" customHeight="1">
      <c r="A2181" s="5">
        <v>0</v>
      </c>
      <c r="B2181" s="6" t="s">
        <v>12474</v>
      </c>
      <c r="C2181" s="7">
        <v>2484</v>
      </c>
      <c r="D2181" s="8" t="s">
        <v>12475</v>
      </c>
      <c r="E2181" s="8" t="s">
        <v>12476</v>
      </c>
      <c r="F2181" s="8" t="s">
        <v>12477</v>
      </c>
      <c r="G2181" s="6" t="s">
        <v>81</v>
      </c>
      <c r="H2181" s="6" t="s">
        <v>99</v>
      </c>
      <c r="I2181" s="8"/>
      <c r="J2181" s="9">
        <v>1</v>
      </c>
      <c r="K2181" s="9">
        <v>576</v>
      </c>
      <c r="L2181" s="9">
        <v>2021</v>
      </c>
      <c r="M2181" s="8" t="s">
        <v>12478</v>
      </c>
      <c r="N2181" s="8" t="s">
        <v>42</v>
      </c>
      <c r="O2181" s="8" t="s">
        <v>101</v>
      </c>
      <c r="P2181" s="6" t="s">
        <v>44</v>
      </c>
      <c r="Q2181" s="8" t="s">
        <v>45</v>
      </c>
      <c r="R2181" s="10" t="s">
        <v>874</v>
      </c>
      <c r="S2181" s="11"/>
      <c r="T2181" s="6"/>
      <c r="U2181" s="24" t="str">
        <f>HYPERLINK("https://media.infra-m.ru/1227/1227192/cover/1227192.jpg", "Обложка")</f>
        <v>Обложка</v>
      </c>
      <c r="V2181" s="24" t="str">
        <f>HYPERLINK("https://znanium.ru/catalog/product/1227192", "Ознакомиться")</f>
        <v>Ознакомиться</v>
      </c>
      <c r="W2181" s="8" t="s">
        <v>516</v>
      </c>
      <c r="X2181" s="6"/>
      <c r="Y2181" s="6"/>
      <c r="Z2181" s="6"/>
      <c r="AA2181" s="6" t="s">
        <v>48</v>
      </c>
      <c r="AB2181" s="8"/>
    </row>
    <row r="2182" spans="1:28" s="4" customFormat="1" ht="42" customHeight="1">
      <c r="A2182" s="5">
        <v>0</v>
      </c>
      <c r="B2182" s="6" t="s">
        <v>12479</v>
      </c>
      <c r="C2182" s="7">
        <v>1800</v>
      </c>
      <c r="D2182" s="8" t="s">
        <v>12480</v>
      </c>
      <c r="E2182" s="8" t="s">
        <v>12481</v>
      </c>
      <c r="F2182" s="8" t="s">
        <v>2002</v>
      </c>
      <c r="G2182" s="6" t="s">
        <v>81</v>
      </c>
      <c r="H2182" s="6" t="s">
        <v>99</v>
      </c>
      <c r="I2182" s="8"/>
      <c r="J2182" s="9">
        <v>1</v>
      </c>
      <c r="K2182" s="9">
        <v>272</v>
      </c>
      <c r="L2182" s="9">
        <v>2026</v>
      </c>
      <c r="M2182" s="8" t="s">
        <v>12482</v>
      </c>
      <c r="N2182" s="8" t="s">
        <v>42</v>
      </c>
      <c r="O2182" s="8" t="s">
        <v>101</v>
      </c>
      <c r="P2182" s="6" t="s">
        <v>44</v>
      </c>
      <c r="Q2182" s="8" t="s">
        <v>45</v>
      </c>
      <c r="R2182" s="10" t="s">
        <v>269</v>
      </c>
      <c r="S2182" s="11"/>
      <c r="T2182" s="6"/>
      <c r="U2182" s="24" t="str">
        <f>HYPERLINK("https://media.infra-m.ru/2221/2221168/cover/2221168.jpg", "Обложка")</f>
        <v>Обложка</v>
      </c>
      <c r="V2182" s="24" t="str">
        <f>HYPERLINK("https://znanium.ru/catalog/product/2221168", "Ознакомиться")</f>
        <v>Ознакомиться</v>
      </c>
      <c r="W2182" s="8" t="s">
        <v>346</v>
      </c>
      <c r="X2182" s="6"/>
      <c r="Y2182" s="6"/>
      <c r="Z2182" s="6"/>
      <c r="AA2182" s="6" t="s">
        <v>168</v>
      </c>
      <c r="AB2182" s="8"/>
    </row>
    <row r="2183" spans="1:28" s="4" customFormat="1" ht="42" customHeight="1">
      <c r="A2183" s="5">
        <v>0</v>
      </c>
      <c r="B2183" s="6" t="s">
        <v>12483</v>
      </c>
      <c r="C2183" s="13">
        <v>444</v>
      </c>
      <c r="D2183" s="8" t="s">
        <v>12484</v>
      </c>
      <c r="E2183" s="8" t="s">
        <v>12485</v>
      </c>
      <c r="F2183" s="8" t="s">
        <v>1891</v>
      </c>
      <c r="G2183" s="6" t="s">
        <v>38</v>
      </c>
      <c r="H2183" s="6" t="s">
        <v>39</v>
      </c>
      <c r="I2183" s="8" t="s">
        <v>1893</v>
      </c>
      <c r="J2183" s="9">
        <v>1</v>
      </c>
      <c r="K2183" s="9">
        <v>101</v>
      </c>
      <c r="L2183" s="9">
        <v>2026</v>
      </c>
      <c r="M2183" s="8" t="s">
        <v>12486</v>
      </c>
      <c r="N2183" s="8" t="s">
        <v>42</v>
      </c>
      <c r="O2183" s="8" t="s">
        <v>1315</v>
      </c>
      <c r="P2183" s="6" t="s">
        <v>2854</v>
      </c>
      <c r="Q2183" s="8" t="s">
        <v>287</v>
      </c>
      <c r="R2183" s="10" t="s">
        <v>2855</v>
      </c>
      <c r="S2183" s="11"/>
      <c r="T2183" s="6"/>
      <c r="U2183" s="24" t="str">
        <f>HYPERLINK("https://media.infra-m.ru/2226/2226222/cover/2226222.jpg", "Обложка")</f>
        <v>Обложка</v>
      </c>
      <c r="V2183" s="24" t="str">
        <f>HYPERLINK("https://znanium.ru/catalog/product/2226222", "Ознакомиться")</f>
        <v>Ознакомиться</v>
      </c>
      <c r="W2183" s="8"/>
      <c r="X2183" s="6"/>
      <c r="Y2183" s="6"/>
      <c r="Z2183" s="6"/>
      <c r="AA2183" s="6" t="s">
        <v>119</v>
      </c>
      <c r="AB2183" s="8"/>
    </row>
    <row r="2184" spans="1:28" s="4" customFormat="1" ht="51.95" customHeight="1">
      <c r="A2184" s="5">
        <v>0</v>
      </c>
      <c r="B2184" s="6" t="s">
        <v>12487</v>
      </c>
      <c r="C2184" s="7">
        <v>2389.1999999999998</v>
      </c>
      <c r="D2184" s="8" t="s">
        <v>12488</v>
      </c>
      <c r="E2184" s="8" t="s">
        <v>12489</v>
      </c>
      <c r="F2184" s="8"/>
      <c r="G2184" s="6" t="s">
        <v>38</v>
      </c>
      <c r="H2184" s="6" t="s">
        <v>182</v>
      </c>
      <c r="I2184" s="8"/>
      <c r="J2184" s="9">
        <v>1</v>
      </c>
      <c r="K2184" s="9">
        <v>100</v>
      </c>
      <c r="L2184" s="9">
        <v>2020</v>
      </c>
      <c r="M2184" s="8"/>
      <c r="N2184" s="8" t="s">
        <v>284</v>
      </c>
      <c r="O2184" s="8" t="s">
        <v>2265</v>
      </c>
      <c r="P2184" s="6" t="s">
        <v>183</v>
      </c>
      <c r="Q2184" s="8" t="s">
        <v>45</v>
      </c>
      <c r="R2184" s="10" t="s">
        <v>12490</v>
      </c>
      <c r="S2184" s="11"/>
      <c r="T2184" s="6"/>
      <c r="U2184" s="24" t="str">
        <f>HYPERLINK("https://media.infra-m.ru/1074/1074464/cover/1074464.jpg", "Обложка")</f>
        <v>Обложка</v>
      </c>
      <c r="V2184" s="24" t="str">
        <f>HYPERLINK("https://znanium.ru/catalog/product/1074464", "Ознакомиться")</f>
        <v>Ознакомиться</v>
      </c>
      <c r="W2184" s="8"/>
      <c r="X2184" s="6"/>
      <c r="Y2184" s="6"/>
      <c r="Z2184" s="6"/>
      <c r="AA2184" s="6"/>
      <c r="AB2184" s="8"/>
    </row>
    <row r="2185" spans="1:28" s="4" customFormat="1" ht="44.1" customHeight="1">
      <c r="A2185" s="5">
        <v>0</v>
      </c>
      <c r="B2185" s="6" t="s">
        <v>12491</v>
      </c>
      <c r="C2185" s="7">
        <v>1492.8</v>
      </c>
      <c r="D2185" s="8" t="s">
        <v>12492</v>
      </c>
      <c r="E2185" s="8" t="s">
        <v>12493</v>
      </c>
      <c r="F2185" s="8" t="s">
        <v>12494</v>
      </c>
      <c r="G2185" s="6" t="s">
        <v>132</v>
      </c>
      <c r="H2185" s="6" t="s">
        <v>39</v>
      </c>
      <c r="I2185" s="8" t="s">
        <v>40</v>
      </c>
      <c r="J2185" s="9">
        <v>1</v>
      </c>
      <c r="K2185" s="9">
        <v>225</v>
      </c>
      <c r="L2185" s="9">
        <v>2026</v>
      </c>
      <c r="M2185" s="8" t="s">
        <v>12495</v>
      </c>
      <c r="N2185" s="8" t="s">
        <v>42</v>
      </c>
      <c r="O2185" s="8" t="s">
        <v>189</v>
      </c>
      <c r="P2185" s="6" t="s">
        <v>44</v>
      </c>
      <c r="Q2185" s="8" t="s">
        <v>45</v>
      </c>
      <c r="R2185" s="10" t="s">
        <v>190</v>
      </c>
      <c r="S2185" s="11"/>
      <c r="T2185" s="6"/>
      <c r="U2185" s="24" t="str">
        <f>HYPERLINK("https://media.infra-m.ru/2219/2219035/cover/2219035.jpg", "Обложка")</f>
        <v>Обложка</v>
      </c>
      <c r="V2185" s="24" t="str">
        <f>HYPERLINK("https://znanium.ru/catalog/product/2144523", "Ознакомиться")</f>
        <v>Ознакомиться</v>
      </c>
      <c r="W2185" s="8" t="s">
        <v>207</v>
      </c>
      <c r="X2185" s="6"/>
      <c r="Y2185" s="6"/>
      <c r="Z2185" s="6"/>
      <c r="AA2185" s="6" t="s">
        <v>58</v>
      </c>
      <c r="AB2185" s="8"/>
    </row>
    <row r="2186" spans="1:28" s="4" customFormat="1" ht="42" customHeight="1">
      <c r="A2186" s="5">
        <v>0</v>
      </c>
      <c r="B2186" s="6" t="s">
        <v>12496</v>
      </c>
      <c r="C2186" s="7">
        <v>1360.8</v>
      </c>
      <c r="D2186" s="8" t="s">
        <v>12497</v>
      </c>
      <c r="E2186" s="8" t="s">
        <v>12498</v>
      </c>
      <c r="F2186" s="8" t="s">
        <v>12499</v>
      </c>
      <c r="G2186" s="6" t="s">
        <v>38</v>
      </c>
      <c r="H2186" s="6" t="s">
        <v>39</v>
      </c>
      <c r="I2186" s="8" t="s">
        <v>40</v>
      </c>
      <c r="J2186" s="9">
        <v>1</v>
      </c>
      <c r="K2186" s="9">
        <v>242</v>
      </c>
      <c r="L2186" s="9">
        <v>2024</v>
      </c>
      <c r="M2186" s="8" t="s">
        <v>12500</v>
      </c>
      <c r="N2186" s="8" t="s">
        <v>229</v>
      </c>
      <c r="O2186" s="8" t="s">
        <v>230</v>
      </c>
      <c r="P2186" s="6" t="s">
        <v>44</v>
      </c>
      <c r="Q2186" s="8" t="s">
        <v>45</v>
      </c>
      <c r="R2186" s="10" t="s">
        <v>11941</v>
      </c>
      <c r="S2186" s="11"/>
      <c r="T2186" s="6"/>
      <c r="U2186" s="24" t="str">
        <f>HYPERLINK("https://media.infra-m.ru/2138/2138768/cover/2138768.jpg", "Обложка")</f>
        <v>Обложка</v>
      </c>
      <c r="V2186" s="24" t="str">
        <f>HYPERLINK("https://znanium.ru/catalog/product/2138767", "Ознакомиться")</f>
        <v>Ознакомиться</v>
      </c>
      <c r="W2186" s="8" t="s">
        <v>1049</v>
      </c>
      <c r="X2186" s="6"/>
      <c r="Y2186" s="6"/>
      <c r="Z2186" s="6"/>
      <c r="AA2186" s="6" t="s">
        <v>892</v>
      </c>
      <c r="AB2186" s="8"/>
    </row>
    <row r="2187" spans="1:28" s="4" customFormat="1" ht="42" customHeight="1">
      <c r="A2187" s="5">
        <v>0</v>
      </c>
      <c r="B2187" s="6" t="s">
        <v>12501</v>
      </c>
      <c r="C2187" s="7">
        <v>2392.8000000000002</v>
      </c>
      <c r="D2187" s="8" t="s">
        <v>12502</v>
      </c>
      <c r="E2187" s="8" t="s">
        <v>12503</v>
      </c>
      <c r="F2187" s="8" t="s">
        <v>1598</v>
      </c>
      <c r="G2187" s="6" t="s">
        <v>132</v>
      </c>
      <c r="H2187" s="6" t="s">
        <v>39</v>
      </c>
      <c r="I2187" s="8" t="s">
        <v>40</v>
      </c>
      <c r="J2187" s="9">
        <v>1</v>
      </c>
      <c r="K2187" s="9">
        <v>383</v>
      </c>
      <c r="L2187" s="9">
        <v>2025</v>
      </c>
      <c r="M2187" s="8" t="s">
        <v>12504</v>
      </c>
      <c r="N2187" s="8" t="s">
        <v>42</v>
      </c>
      <c r="O2187" s="8" t="s">
        <v>65</v>
      </c>
      <c r="P2187" s="6" t="s">
        <v>44</v>
      </c>
      <c r="Q2187" s="8" t="s">
        <v>45</v>
      </c>
      <c r="R2187" s="10" t="s">
        <v>12505</v>
      </c>
      <c r="S2187" s="11"/>
      <c r="T2187" s="6"/>
      <c r="U2187" s="24" t="str">
        <f>HYPERLINK("https://media.infra-m.ru/2217/2217151/cover/2217151.jpg", "Обложка")</f>
        <v>Обложка</v>
      </c>
      <c r="V2187" s="24" t="str">
        <f>HYPERLINK("https://znanium.ru/catalog/product/2217150", "Ознакомиться")</f>
        <v>Ознакомиться</v>
      </c>
      <c r="W2187" s="8" t="s">
        <v>1601</v>
      </c>
      <c r="X2187" s="6"/>
      <c r="Y2187" s="6"/>
      <c r="Z2187" s="6"/>
      <c r="AA2187" s="6" t="s">
        <v>76</v>
      </c>
      <c r="AB2187" s="8"/>
    </row>
    <row r="2188" spans="1:28" s="4" customFormat="1" ht="51.95" customHeight="1">
      <c r="A2188" s="5">
        <v>0</v>
      </c>
      <c r="B2188" s="6" t="s">
        <v>12506</v>
      </c>
      <c r="C2188" s="13">
        <v>628.79999999999995</v>
      </c>
      <c r="D2188" s="8" t="s">
        <v>12507</v>
      </c>
      <c r="E2188" s="8" t="s">
        <v>12508</v>
      </c>
      <c r="F2188" s="8" t="s">
        <v>12509</v>
      </c>
      <c r="G2188" s="6" t="s">
        <v>38</v>
      </c>
      <c r="H2188" s="6" t="s">
        <v>39</v>
      </c>
      <c r="I2188" s="8" t="s">
        <v>40</v>
      </c>
      <c r="J2188" s="9">
        <v>1</v>
      </c>
      <c r="K2188" s="9">
        <v>111</v>
      </c>
      <c r="L2188" s="9">
        <v>2023</v>
      </c>
      <c r="M2188" s="8" t="s">
        <v>12510</v>
      </c>
      <c r="N2188" s="8" t="s">
        <v>42</v>
      </c>
      <c r="O2188" s="8" t="s">
        <v>101</v>
      </c>
      <c r="P2188" s="6" t="s">
        <v>44</v>
      </c>
      <c r="Q2188" s="8" t="s">
        <v>45</v>
      </c>
      <c r="R2188" s="10" t="s">
        <v>3466</v>
      </c>
      <c r="S2188" s="11"/>
      <c r="T2188" s="6"/>
      <c r="U2188" s="24" t="str">
        <f>HYPERLINK("https://media.infra-m.ru/2021/2021405/cover/2021405.jpg", "Обложка")</f>
        <v>Обложка</v>
      </c>
      <c r="V2188" s="24" t="str">
        <f>HYPERLINK("https://znanium.ru/catalog/product/2021405", "Ознакомиться")</f>
        <v>Ознакомиться</v>
      </c>
      <c r="W2188" s="8" t="s">
        <v>1529</v>
      </c>
      <c r="X2188" s="6"/>
      <c r="Y2188" s="6"/>
      <c r="Z2188" s="6"/>
      <c r="AA2188" s="6" t="s">
        <v>76</v>
      </c>
      <c r="AB2188" s="8"/>
    </row>
    <row r="2189" spans="1:28" s="4" customFormat="1" ht="42" customHeight="1">
      <c r="A2189" s="5">
        <v>0</v>
      </c>
      <c r="B2189" s="6" t="s">
        <v>12511</v>
      </c>
      <c r="C2189" s="13">
        <v>996</v>
      </c>
      <c r="D2189" s="8" t="s">
        <v>12512</v>
      </c>
      <c r="E2189" s="8" t="s">
        <v>12513</v>
      </c>
      <c r="F2189" s="8" t="s">
        <v>12514</v>
      </c>
      <c r="G2189" s="6" t="s">
        <v>38</v>
      </c>
      <c r="H2189" s="6" t="s">
        <v>39</v>
      </c>
      <c r="I2189" s="8" t="s">
        <v>336</v>
      </c>
      <c r="J2189" s="9">
        <v>1</v>
      </c>
      <c r="K2189" s="9">
        <v>184</v>
      </c>
      <c r="L2189" s="9">
        <v>2023</v>
      </c>
      <c r="M2189" s="8" t="s">
        <v>12515</v>
      </c>
      <c r="N2189" s="8" t="s">
        <v>42</v>
      </c>
      <c r="O2189" s="8" t="s">
        <v>101</v>
      </c>
      <c r="P2189" s="6" t="s">
        <v>44</v>
      </c>
      <c r="Q2189" s="8" t="s">
        <v>45</v>
      </c>
      <c r="R2189" s="10" t="s">
        <v>564</v>
      </c>
      <c r="S2189" s="11"/>
      <c r="T2189" s="6"/>
      <c r="U2189" s="24" t="str">
        <f>HYPERLINK("https://media.infra-m.ru/2011/2011479/cover/2011479.jpg", "Обложка")</f>
        <v>Обложка</v>
      </c>
      <c r="V2189" s="24" t="str">
        <f>HYPERLINK("https://znanium.ru/catalog/product/2011479", "Ознакомиться")</f>
        <v>Ознакомиться</v>
      </c>
      <c r="W2189" s="8" t="s">
        <v>103</v>
      </c>
      <c r="X2189" s="6"/>
      <c r="Y2189" s="6"/>
      <c r="Z2189" s="6"/>
      <c r="AA2189" s="6" t="s">
        <v>377</v>
      </c>
      <c r="AB2189" s="8"/>
    </row>
    <row r="2190" spans="1:28" s="4" customFormat="1" ht="51.95" customHeight="1">
      <c r="A2190" s="5">
        <v>0</v>
      </c>
      <c r="B2190" s="6" t="s">
        <v>12516</v>
      </c>
      <c r="C2190" s="7">
        <v>1860</v>
      </c>
      <c r="D2190" s="8" t="s">
        <v>12517</v>
      </c>
      <c r="E2190" s="8" t="s">
        <v>12518</v>
      </c>
      <c r="F2190" s="8" t="s">
        <v>12519</v>
      </c>
      <c r="G2190" s="6" t="s">
        <v>81</v>
      </c>
      <c r="H2190" s="6" t="s">
        <v>99</v>
      </c>
      <c r="I2190" s="8"/>
      <c r="J2190" s="9">
        <v>1</v>
      </c>
      <c r="K2190" s="9">
        <v>336</v>
      </c>
      <c r="L2190" s="9">
        <v>2024</v>
      </c>
      <c r="M2190" s="8" t="s">
        <v>12520</v>
      </c>
      <c r="N2190" s="8" t="s">
        <v>42</v>
      </c>
      <c r="O2190" s="8" t="s">
        <v>101</v>
      </c>
      <c r="P2190" s="6" t="s">
        <v>44</v>
      </c>
      <c r="Q2190" s="8" t="s">
        <v>45</v>
      </c>
      <c r="R2190" s="10" t="s">
        <v>1329</v>
      </c>
      <c r="S2190" s="11"/>
      <c r="T2190" s="6"/>
      <c r="U2190" s="24" t="str">
        <f>HYPERLINK("https://media.infra-m.ru/2114/2114307/cover/2114307.jpg", "Обложка")</f>
        <v>Обложка</v>
      </c>
      <c r="V2190" s="24" t="str">
        <f>HYPERLINK("https://znanium.ru/catalog/product/2114307", "Ознакомиться")</f>
        <v>Ознакомиться</v>
      </c>
      <c r="W2190" s="8" t="s">
        <v>1627</v>
      </c>
      <c r="X2190" s="6"/>
      <c r="Y2190" s="6"/>
      <c r="Z2190" s="6"/>
      <c r="AA2190" s="6" t="s">
        <v>199</v>
      </c>
      <c r="AB2190" s="8"/>
    </row>
    <row r="2191" spans="1:28" s="4" customFormat="1" ht="42" customHeight="1">
      <c r="A2191" s="5">
        <v>0</v>
      </c>
      <c r="B2191" s="6" t="s">
        <v>12521</v>
      </c>
      <c r="C2191" s="7">
        <v>2760</v>
      </c>
      <c r="D2191" s="8" t="s">
        <v>12522</v>
      </c>
      <c r="E2191" s="8" t="s">
        <v>12523</v>
      </c>
      <c r="F2191" s="8" t="s">
        <v>11648</v>
      </c>
      <c r="G2191" s="6" t="s">
        <v>132</v>
      </c>
      <c r="H2191" s="6" t="s">
        <v>39</v>
      </c>
      <c r="I2191" s="8" t="s">
        <v>828</v>
      </c>
      <c r="J2191" s="9">
        <v>1</v>
      </c>
      <c r="K2191" s="9">
        <v>486</v>
      </c>
      <c r="L2191" s="9">
        <v>2024</v>
      </c>
      <c r="M2191" s="8" t="s">
        <v>12524</v>
      </c>
      <c r="N2191" s="8" t="s">
        <v>42</v>
      </c>
      <c r="O2191" s="8" t="s">
        <v>101</v>
      </c>
      <c r="P2191" s="6" t="s">
        <v>659</v>
      </c>
      <c r="Q2191" s="8" t="s">
        <v>287</v>
      </c>
      <c r="R2191" s="10" t="s">
        <v>12525</v>
      </c>
      <c r="S2191" s="11"/>
      <c r="T2191" s="6"/>
      <c r="U2191" s="24" t="str">
        <f>HYPERLINK("https://media.infra-m.ru/1876/1876529/cover/1876529.jpg", "Обложка")</f>
        <v>Обложка</v>
      </c>
      <c r="V2191" s="24" t="str">
        <f>HYPERLINK("https://znanium.ru/catalog/product/1876529", "Ознакомиться")</f>
        <v>Ознакомиться</v>
      </c>
      <c r="W2191" s="8" t="s">
        <v>391</v>
      </c>
      <c r="X2191" s="6"/>
      <c r="Y2191" s="6"/>
      <c r="Z2191" s="6"/>
      <c r="AA2191" s="6" t="s">
        <v>58</v>
      </c>
      <c r="AB2191" s="8"/>
    </row>
    <row r="2192" spans="1:28" s="4" customFormat="1" ht="44.1" customHeight="1">
      <c r="A2192" s="5">
        <v>0</v>
      </c>
      <c r="B2192" s="6" t="s">
        <v>12526</v>
      </c>
      <c r="C2192" s="7">
        <v>2021.9</v>
      </c>
      <c r="D2192" s="8" t="s">
        <v>12527</v>
      </c>
      <c r="E2192" s="8" t="s">
        <v>12528</v>
      </c>
      <c r="F2192" s="8" t="s">
        <v>6208</v>
      </c>
      <c r="G2192" s="6" t="s">
        <v>132</v>
      </c>
      <c r="H2192" s="6" t="s">
        <v>99</v>
      </c>
      <c r="I2192" s="8"/>
      <c r="J2192" s="9">
        <v>1</v>
      </c>
      <c r="K2192" s="9">
        <v>400</v>
      </c>
      <c r="L2192" s="9">
        <v>2022</v>
      </c>
      <c r="M2192" s="8" t="s">
        <v>12529</v>
      </c>
      <c r="N2192" s="8" t="s">
        <v>42</v>
      </c>
      <c r="O2192" s="8" t="s">
        <v>101</v>
      </c>
      <c r="P2192" s="6" t="s">
        <v>44</v>
      </c>
      <c r="Q2192" s="8" t="s">
        <v>45</v>
      </c>
      <c r="R2192" s="10" t="s">
        <v>1587</v>
      </c>
      <c r="S2192" s="11"/>
      <c r="T2192" s="6"/>
      <c r="U2192" s="24" t="str">
        <f>HYPERLINK("https://media.infra-m.ru/1875/1875343/cover/1875343.jpg", "Обложка")</f>
        <v>Обложка</v>
      </c>
      <c r="V2192" s="24" t="str">
        <f>HYPERLINK("https://znanium.ru/catalog/product/988309", "Ознакомиться")</f>
        <v>Ознакомиться</v>
      </c>
      <c r="W2192" s="8" t="s">
        <v>1627</v>
      </c>
      <c r="X2192" s="6"/>
      <c r="Y2192" s="6"/>
      <c r="Z2192" s="6"/>
      <c r="AA2192" s="6" t="s">
        <v>94</v>
      </c>
      <c r="AB2192" s="8"/>
    </row>
    <row r="2193" spans="1:28" s="4" customFormat="1" ht="51.95" customHeight="1">
      <c r="A2193" s="5">
        <v>0</v>
      </c>
      <c r="B2193" s="6" t="s">
        <v>12530</v>
      </c>
      <c r="C2193" s="7">
        <v>1156.8</v>
      </c>
      <c r="D2193" s="8" t="s">
        <v>12531</v>
      </c>
      <c r="E2193" s="8" t="s">
        <v>12532</v>
      </c>
      <c r="F2193" s="8" t="s">
        <v>12533</v>
      </c>
      <c r="G2193" s="6" t="s">
        <v>81</v>
      </c>
      <c r="H2193" s="6" t="s">
        <v>99</v>
      </c>
      <c r="I2193" s="8"/>
      <c r="J2193" s="9">
        <v>1</v>
      </c>
      <c r="K2193" s="9">
        <v>192</v>
      </c>
      <c r="L2193" s="9">
        <v>2025</v>
      </c>
      <c r="M2193" s="8" t="s">
        <v>12534</v>
      </c>
      <c r="N2193" s="8" t="s">
        <v>42</v>
      </c>
      <c r="O2193" s="8" t="s">
        <v>101</v>
      </c>
      <c r="P2193" s="6" t="s">
        <v>44</v>
      </c>
      <c r="Q2193" s="8" t="s">
        <v>45</v>
      </c>
      <c r="R2193" s="10" t="s">
        <v>1798</v>
      </c>
      <c r="S2193" s="11"/>
      <c r="T2193" s="6"/>
      <c r="U2193" s="24" t="str">
        <f>HYPERLINK("https://media.infra-m.ru/2169/2169163/cover/2169163.jpg", "Обложка")</f>
        <v>Обложка</v>
      </c>
      <c r="V2193" s="24" t="str">
        <f>HYPERLINK("https://znanium.ru/catalog/product/1973508", "Ознакомиться")</f>
        <v>Ознакомиться</v>
      </c>
      <c r="W2193" s="8" t="s">
        <v>418</v>
      </c>
      <c r="X2193" s="6"/>
      <c r="Y2193" s="6"/>
      <c r="Z2193" s="6"/>
      <c r="AA2193" s="6" t="s">
        <v>76</v>
      </c>
      <c r="AB2193" s="8"/>
    </row>
    <row r="2194" spans="1:28" s="4" customFormat="1" ht="42" customHeight="1">
      <c r="A2194" s="5">
        <v>0</v>
      </c>
      <c r="B2194" s="6" t="s">
        <v>12535</v>
      </c>
      <c r="C2194" s="7">
        <v>2392.8000000000002</v>
      </c>
      <c r="D2194" s="8" t="s">
        <v>12536</v>
      </c>
      <c r="E2194" s="8" t="s">
        <v>12537</v>
      </c>
      <c r="F2194" s="8" t="s">
        <v>2966</v>
      </c>
      <c r="G2194" s="6" t="s">
        <v>132</v>
      </c>
      <c r="H2194" s="6" t="s">
        <v>99</v>
      </c>
      <c r="I2194" s="8"/>
      <c r="J2194" s="9">
        <v>1</v>
      </c>
      <c r="K2194" s="9">
        <v>432</v>
      </c>
      <c r="L2194" s="9">
        <v>2024</v>
      </c>
      <c r="M2194" s="8" t="s">
        <v>12538</v>
      </c>
      <c r="N2194" s="8" t="s">
        <v>42</v>
      </c>
      <c r="O2194" s="8" t="s">
        <v>101</v>
      </c>
      <c r="P2194" s="6" t="s">
        <v>44</v>
      </c>
      <c r="Q2194" s="8" t="s">
        <v>45</v>
      </c>
      <c r="R2194" s="10" t="s">
        <v>600</v>
      </c>
      <c r="S2194" s="11"/>
      <c r="T2194" s="6"/>
      <c r="U2194" s="24" t="str">
        <f>HYPERLINK("https://media.infra-m.ru/1862/1862615/cover/1862615.jpg", "Обложка")</f>
        <v>Обложка</v>
      </c>
      <c r="V2194" s="24" t="str">
        <f>HYPERLINK("https://znanium.ru/catalog/product/1085677", "Ознакомиться")</f>
        <v>Ознакомиться</v>
      </c>
      <c r="W2194" s="8" t="s">
        <v>103</v>
      </c>
      <c r="X2194" s="6"/>
      <c r="Y2194" s="6"/>
      <c r="Z2194" s="6"/>
      <c r="AA2194" s="6" t="s">
        <v>369</v>
      </c>
      <c r="AB2194" s="8"/>
    </row>
    <row r="2195" spans="1:28" s="4" customFormat="1" ht="42" customHeight="1">
      <c r="A2195" s="5">
        <v>0</v>
      </c>
      <c r="B2195" s="6" t="s">
        <v>12539</v>
      </c>
      <c r="C2195" s="7">
        <v>3456</v>
      </c>
      <c r="D2195" s="8" t="s">
        <v>12540</v>
      </c>
      <c r="E2195" s="8" t="s">
        <v>12541</v>
      </c>
      <c r="F2195" s="8" t="s">
        <v>12542</v>
      </c>
      <c r="G2195" s="6" t="s">
        <v>132</v>
      </c>
      <c r="H2195" s="6" t="s">
        <v>99</v>
      </c>
      <c r="I2195" s="8"/>
      <c r="J2195" s="9">
        <v>1</v>
      </c>
      <c r="K2195" s="9">
        <v>576</v>
      </c>
      <c r="L2195" s="9">
        <v>2025</v>
      </c>
      <c r="M2195" s="8" t="s">
        <v>12543</v>
      </c>
      <c r="N2195" s="8" t="s">
        <v>42</v>
      </c>
      <c r="O2195" s="8" t="s">
        <v>101</v>
      </c>
      <c r="P2195" s="6" t="s">
        <v>44</v>
      </c>
      <c r="Q2195" s="8" t="s">
        <v>45</v>
      </c>
      <c r="R2195" s="10" t="s">
        <v>874</v>
      </c>
      <c r="S2195" s="11"/>
      <c r="T2195" s="6"/>
      <c r="U2195" s="24" t="str">
        <f>HYPERLINK("https://media.infra-m.ru/2174/2174258/cover/2174258.jpg", "Обложка")</f>
        <v>Обложка</v>
      </c>
      <c r="V2195" s="24" t="str">
        <f>HYPERLINK("https://znanium.ru/catalog/product/2231011", "Ознакомиться")</f>
        <v>Ознакомиться</v>
      </c>
      <c r="W2195" s="8" t="s">
        <v>418</v>
      </c>
      <c r="X2195" s="6"/>
      <c r="Y2195" s="6"/>
      <c r="Z2195" s="6"/>
      <c r="AA2195" s="6" t="s">
        <v>12544</v>
      </c>
      <c r="AB2195" s="8"/>
    </row>
    <row r="2196" spans="1:28" s="4" customFormat="1" ht="51.95" customHeight="1">
      <c r="A2196" s="5">
        <v>0</v>
      </c>
      <c r="B2196" s="6" t="s">
        <v>12545</v>
      </c>
      <c r="C2196" s="7">
        <v>2880</v>
      </c>
      <c r="D2196" s="8" t="s">
        <v>12546</v>
      </c>
      <c r="E2196" s="8" t="s">
        <v>12547</v>
      </c>
      <c r="F2196" s="8" t="s">
        <v>12548</v>
      </c>
      <c r="G2196" s="6" t="s">
        <v>132</v>
      </c>
      <c r="H2196" s="6" t="s">
        <v>99</v>
      </c>
      <c r="I2196" s="8"/>
      <c r="J2196" s="9">
        <v>1</v>
      </c>
      <c r="K2196" s="9">
        <v>480</v>
      </c>
      <c r="L2196" s="9">
        <v>2025</v>
      </c>
      <c r="M2196" s="8" t="s">
        <v>12549</v>
      </c>
      <c r="N2196" s="8" t="s">
        <v>42</v>
      </c>
      <c r="O2196" s="8" t="s">
        <v>101</v>
      </c>
      <c r="P2196" s="6" t="s">
        <v>44</v>
      </c>
      <c r="Q2196" s="8" t="s">
        <v>416</v>
      </c>
      <c r="R2196" s="10" t="s">
        <v>680</v>
      </c>
      <c r="S2196" s="11" t="s">
        <v>12550</v>
      </c>
      <c r="T2196" s="6"/>
      <c r="U2196" s="24" t="str">
        <f>HYPERLINK("https://media.infra-m.ru/2177/2177861/cover/2177861.jpg", "Обложка")</f>
        <v>Обложка</v>
      </c>
      <c r="V2196" s="24" t="str">
        <f>HYPERLINK("https://znanium.ru/catalog/product/2177861", "Ознакомиться")</f>
        <v>Ознакомиться</v>
      </c>
      <c r="W2196" s="8" t="s">
        <v>1627</v>
      </c>
      <c r="X2196" s="6"/>
      <c r="Y2196" s="6"/>
      <c r="Z2196" s="6"/>
      <c r="AA2196" s="6" t="s">
        <v>5671</v>
      </c>
      <c r="AB2196" s="8"/>
    </row>
    <row r="2197" spans="1:28" s="4" customFormat="1" ht="42" customHeight="1">
      <c r="A2197" s="5">
        <v>0</v>
      </c>
      <c r="B2197" s="6" t="s">
        <v>12551</v>
      </c>
      <c r="C2197" s="7">
        <v>2388</v>
      </c>
      <c r="D2197" s="8" t="s">
        <v>12552</v>
      </c>
      <c r="E2197" s="8" t="s">
        <v>12553</v>
      </c>
      <c r="F2197" s="8" t="s">
        <v>12554</v>
      </c>
      <c r="G2197" s="6" t="s">
        <v>81</v>
      </c>
      <c r="H2197" s="6" t="s">
        <v>99</v>
      </c>
      <c r="I2197" s="8"/>
      <c r="J2197" s="9">
        <v>1</v>
      </c>
      <c r="K2197" s="9">
        <v>384</v>
      </c>
      <c r="L2197" s="9">
        <v>2025</v>
      </c>
      <c r="M2197" s="8" t="s">
        <v>12555</v>
      </c>
      <c r="N2197" s="8" t="s">
        <v>42</v>
      </c>
      <c r="O2197" s="8" t="s">
        <v>101</v>
      </c>
      <c r="P2197" s="6" t="s">
        <v>44</v>
      </c>
      <c r="Q2197" s="8" t="s">
        <v>45</v>
      </c>
      <c r="R2197" s="10" t="s">
        <v>269</v>
      </c>
      <c r="S2197" s="11"/>
      <c r="T2197" s="6"/>
      <c r="U2197" s="24" t="str">
        <f>HYPERLINK("https://media.infra-m.ru/2197/2197895/cover/2197895.jpg", "Обложка")</f>
        <v>Обложка</v>
      </c>
      <c r="V2197" s="24" t="str">
        <f>HYPERLINK("https://znanium.ru/catalog/product/2174792", "Ознакомиться")</f>
        <v>Ознакомиться</v>
      </c>
      <c r="W2197" s="8" t="s">
        <v>103</v>
      </c>
      <c r="X2197" s="6"/>
      <c r="Y2197" s="6"/>
      <c r="Z2197" s="6"/>
      <c r="AA2197" s="6" t="s">
        <v>58</v>
      </c>
      <c r="AB2197" s="8"/>
    </row>
    <row r="2198" spans="1:28" s="4" customFormat="1" ht="51.95" customHeight="1">
      <c r="A2198" s="5">
        <v>0</v>
      </c>
      <c r="B2198" s="6" t="s">
        <v>12556</v>
      </c>
      <c r="C2198" s="7">
        <v>1068</v>
      </c>
      <c r="D2198" s="8" t="s">
        <v>12557</v>
      </c>
      <c r="E2198" s="8" t="s">
        <v>12558</v>
      </c>
      <c r="F2198" s="8" t="s">
        <v>12559</v>
      </c>
      <c r="G2198" s="6" t="s">
        <v>132</v>
      </c>
      <c r="H2198" s="6" t="s">
        <v>39</v>
      </c>
      <c r="I2198" s="8" t="s">
        <v>40</v>
      </c>
      <c r="J2198" s="9">
        <v>1</v>
      </c>
      <c r="K2198" s="9">
        <v>188</v>
      </c>
      <c r="L2198" s="9">
        <v>2024</v>
      </c>
      <c r="M2198" s="8" t="s">
        <v>12560</v>
      </c>
      <c r="N2198" s="8" t="s">
        <v>42</v>
      </c>
      <c r="O2198" s="8" t="s">
        <v>101</v>
      </c>
      <c r="P2198" s="6" t="s">
        <v>44</v>
      </c>
      <c r="Q2198" s="8" t="s">
        <v>45</v>
      </c>
      <c r="R2198" s="10" t="s">
        <v>2542</v>
      </c>
      <c r="S2198" s="11"/>
      <c r="T2198" s="6"/>
      <c r="U2198" s="24" t="str">
        <f>HYPERLINK("https://media.infra-m.ru/1959/1959242/cover/1959242.jpg", "Обложка")</f>
        <v>Обложка</v>
      </c>
      <c r="V2198" s="24" t="str">
        <f>HYPERLINK("https://znanium.ru/catalog/product/1959242", "Ознакомиться")</f>
        <v>Ознакомиться</v>
      </c>
      <c r="W2198" s="8" t="s">
        <v>12561</v>
      </c>
      <c r="X2198" s="6"/>
      <c r="Y2198" s="6"/>
      <c r="Z2198" s="6"/>
      <c r="AA2198" s="6" t="s">
        <v>58</v>
      </c>
      <c r="AB2198" s="8"/>
    </row>
    <row r="2199" spans="1:28" s="4" customFormat="1" ht="51.95" customHeight="1">
      <c r="A2199" s="5">
        <v>0</v>
      </c>
      <c r="B2199" s="6" t="s">
        <v>12562</v>
      </c>
      <c r="C2199" s="7">
        <v>1380</v>
      </c>
      <c r="D2199" s="8" t="s">
        <v>12563</v>
      </c>
      <c r="E2199" s="8" t="s">
        <v>12564</v>
      </c>
      <c r="F2199" s="8" t="s">
        <v>12565</v>
      </c>
      <c r="G2199" s="6" t="s">
        <v>38</v>
      </c>
      <c r="H2199" s="6" t="s">
        <v>99</v>
      </c>
      <c r="I2199" s="8" t="s">
        <v>12566</v>
      </c>
      <c r="J2199" s="9">
        <v>1</v>
      </c>
      <c r="K2199" s="9">
        <v>256</v>
      </c>
      <c r="L2199" s="9">
        <v>2023</v>
      </c>
      <c r="M2199" s="8" t="s">
        <v>12567</v>
      </c>
      <c r="N2199" s="8" t="s">
        <v>42</v>
      </c>
      <c r="O2199" s="8" t="s">
        <v>101</v>
      </c>
      <c r="P2199" s="6" t="s">
        <v>1195</v>
      </c>
      <c r="Q2199" s="8" t="s">
        <v>45</v>
      </c>
      <c r="R2199" s="10" t="s">
        <v>12568</v>
      </c>
      <c r="S2199" s="11"/>
      <c r="T2199" s="6"/>
      <c r="U2199" s="24" t="str">
        <f>HYPERLINK("https://media.infra-m.ru/1919/1919497/cover/1919497.jpg", "Обложка")</f>
        <v>Обложка</v>
      </c>
      <c r="V2199" s="24" t="str">
        <f>HYPERLINK("https://znanium.ru/catalog/product/1919497", "Ознакомиться")</f>
        <v>Ознакомиться</v>
      </c>
      <c r="W2199" s="8" t="s">
        <v>8205</v>
      </c>
      <c r="X2199" s="6"/>
      <c r="Y2199" s="6"/>
      <c r="Z2199" s="6"/>
      <c r="AA2199" s="6" t="s">
        <v>5671</v>
      </c>
      <c r="AB2199" s="8"/>
    </row>
    <row r="2200" spans="1:28" s="4" customFormat="1" ht="51.95" customHeight="1">
      <c r="A2200" s="5">
        <v>0</v>
      </c>
      <c r="B2200" s="6" t="s">
        <v>12569</v>
      </c>
      <c r="C2200" s="13">
        <v>792</v>
      </c>
      <c r="D2200" s="8" t="s">
        <v>12570</v>
      </c>
      <c r="E2200" s="8" t="s">
        <v>12571</v>
      </c>
      <c r="F2200" s="8" t="s">
        <v>12572</v>
      </c>
      <c r="G2200" s="6" t="s">
        <v>38</v>
      </c>
      <c r="H2200" s="6" t="s">
        <v>99</v>
      </c>
      <c r="I2200" s="8"/>
      <c r="J2200" s="9">
        <v>1</v>
      </c>
      <c r="K2200" s="9">
        <v>80</v>
      </c>
      <c r="L2200" s="9">
        <v>2026</v>
      </c>
      <c r="M2200" s="8" t="s">
        <v>12573</v>
      </c>
      <c r="N2200" s="8" t="s">
        <v>284</v>
      </c>
      <c r="O2200" s="8" t="s">
        <v>717</v>
      </c>
      <c r="P2200" s="6" t="s">
        <v>44</v>
      </c>
      <c r="Q2200" s="8"/>
      <c r="R2200" s="10" t="s">
        <v>12574</v>
      </c>
      <c r="S2200" s="11"/>
      <c r="T2200" s="6"/>
      <c r="U2200" s="24" t="str">
        <f>HYPERLINK("https://media.infra-m.ru/2224/2224589/cover/2224589.jpg", "Обложка")</f>
        <v>Обложка</v>
      </c>
      <c r="V2200" s="24" t="str">
        <f>HYPERLINK("https://znanium.ru/catalog/product/2221050", "Ознакомиться")</f>
        <v>Ознакомиться</v>
      </c>
      <c r="W2200" s="8" t="s">
        <v>8205</v>
      </c>
      <c r="X2200" s="6"/>
      <c r="Y2200" s="6"/>
      <c r="Z2200" s="6"/>
      <c r="AA2200" s="6" t="s">
        <v>833</v>
      </c>
      <c r="AB2200" s="8"/>
    </row>
    <row r="2201" spans="1:28" s="4" customFormat="1" ht="44.1" customHeight="1">
      <c r="A2201" s="5">
        <v>0</v>
      </c>
      <c r="B2201" s="6" t="s">
        <v>12575</v>
      </c>
      <c r="C2201" s="7">
        <v>2152.8000000000002</v>
      </c>
      <c r="D2201" s="8" t="s">
        <v>12576</v>
      </c>
      <c r="E2201" s="8" t="s">
        <v>12577</v>
      </c>
      <c r="F2201" s="8" t="s">
        <v>12578</v>
      </c>
      <c r="G2201" s="6" t="s">
        <v>81</v>
      </c>
      <c r="H2201" s="6" t="s">
        <v>99</v>
      </c>
      <c r="I2201" s="8"/>
      <c r="J2201" s="9">
        <v>1</v>
      </c>
      <c r="K2201" s="9">
        <v>344</v>
      </c>
      <c r="L2201" s="9">
        <v>2026</v>
      </c>
      <c r="M2201" s="8" t="s">
        <v>12579</v>
      </c>
      <c r="N2201" s="8" t="s">
        <v>42</v>
      </c>
      <c r="O2201" s="8" t="s">
        <v>101</v>
      </c>
      <c r="P2201" s="6" t="s">
        <v>44</v>
      </c>
      <c r="Q2201" s="8" t="s">
        <v>45</v>
      </c>
      <c r="R2201" s="10" t="s">
        <v>2700</v>
      </c>
      <c r="S2201" s="11"/>
      <c r="T2201" s="6"/>
      <c r="U2201" s="24" t="str">
        <f>HYPERLINK("https://media.infra-m.ru/2205/2205236/cover/2205236.jpg", "Обложка")</f>
        <v>Обложка</v>
      </c>
      <c r="V2201" s="24" t="str">
        <f>HYPERLINK("https://znanium.ru/catalog/product/2151927", "Ознакомиться")</f>
        <v>Ознакомиться</v>
      </c>
      <c r="W2201" s="8" t="s">
        <v>1627</v>
      </c>
      <c r="X2201" s="6"/>
      <c r="Y2201" s="6"/>
      <c r="Z2201" s="6"/>
      <c r="AA2201" s="6" t="s">
        <v>199</v>
      </c>
      <c r="AB2201" s="8"/>
    </row>
    <row r="2202" spans="1:28" s="4" customFormat="1" ht="42" customHeight="1">
      <c r="A2202" s="5">
        <v>0</v>
      </c>
      <c r="B2202" s="6" t="s">
        <v>12580</v>
      </c>
      <c r="C2202" s="7">
        <v>2332.8000000000002</v>
      </c>
      <c r="D2202" s="8" t="s">
        <v>12581</v>
      </c>
      <c r="E2202" s="8" t="s">
        <v>12582</v>
      </c>
      <c r="F2202" s="8" t="s">
        <v>12583</v>
      </c>
      <c r="G2202" s="6" t="s">
        <v>132</v>
      </c>
      <c r="H2202" s="6" t="s">
        <v>99</v>
      </c>
      <c r="I2202" s="8"/>
      <c r="J2202" s="9">
        <v>1</v>
      </c>
      <c r="K2202" s="9">
        <v>528</v>
      </c>
      <c r="L2202" s="9">
        <v>2024</v>
      </c>
      <c r="M2202" s="8" t="s">
        <v>12584</v>
      </c>
      <c r="N2202" s="8" t="s">
        <v>42</v>
      </c>
      <c r="O2202" s="8" t="s">
        <v>101</v>
      </c>
      <c r="P2202" s="6" t="s">
        <v>44</v>
      </c>
      <c r="Q2202" s="8" t="s">
        <v>45</v>
      </c>
      <c r="R2202" s="10" t="s">
        <v>564</v>
      </c>
      <c r="S2202" s="11"/>
      <c r="T2202" s="6"/>
      <c r="U2202" s="24" t="str">
        <f>HYPERLINK("https://media.infra-m.ru/2131/2131531/cover/2131531.jpg", "Обложка")</f>
        <v>Обложка</v>
      </c>
      <c r="V2202" s="24" t="str">
        <f>HYPERLINK("https://znanium.ru/catalog/product/1324341", "Ознакомиться")</f>
        <v>Ознакомиться</v>
      </c>
      <c r="W2202" s="8" t="s">
        <v>103</v>
      </c>
      <c r="X2202" s="6"/>
      <c r="Y2202" s="6"/>
      <c r="Z2202" s="6"/>
      <c r="AA2202" s="6" t="s">
        <v>331</v>
      </c>
      <c r="AB2202" s="8"/>
    </row>
    <row r="2203" spans="1:28" s="4" customFormat="1" ht="51.95" customHeight="1">
      <c r="A2203" s="5">
        <v>0</v>
      </c>
      <c r="B2203" s="6" t="s">
        <v>12585</v>
      </c>
      <c r="C2203" s="7">
        <v>1408.8</v>
      </c>
      <c r="D2203" s="8" t="s">
        <v>12586</v>
      </c>
      <c r="E2203" s="8" t="s">
        <v>12587</v>
      </c>
      <c r="F2203" s="8" t="s">
        <v>12588</v>
      </c>
      <c r="G2203" s="6" t="s">
        <v>132</v>
      </c>
      <c r="H2203" s="6" t="s">
        <v>99</v>
      </c>
      <c r="I2203" s="8"/>
      <c r="J2203" s="9">
        <v>1</v>
      </c>
      <c r="K2203" s="9">
        <v>256</v>
      </c>
      <c r="L2203" s="9">
        <v>2023</v>
      </c>
      <c r="M2203" s="8" t="s">
        <v>12589</v>
      </c>
      <c r="N2203" s="8" t="s">
        <v>42</v>
      </c>
      <c r="O2203" s="8" t="s">
        <v>101</v>
      </c>
      <c r="P2203" s="6" t="s">
        <v>44</v>
      </c>
      <c r="Q2203" s="8" t="s">
        <v>45</v>
      </c>
      <c r="R2203" s="10" t="s">
        <v>680</v>
      </c>
      <c r="S2203" s="11"/>
      <c r="T2203" s="6"/>
      <c r="U2203" s="24" t="str">
        <f>HYPERLINK("https://media.infra-m.ru/2096/2096169/cover/2096169.jpg", "Обложка")</f>
        <v>Обложка</v>
      </c>
      <c r="V2203" s="24" t="str">
        <f>HYPERLINK("https://znanium.ru/catalog/product/1022278", "Ознакомиться")</f>
        <v>Ознакомиться</v>
      </c>
      <c r="W2203" s="8" t="s">
        <v>262</v>
      </c>
      <c r="X2203" s="6"/>
      <c r="Y2203" s="6"/>
      <c r="Z2203" s="6"/>
      <c r="AA2203" s="6" t="s">
        <v>68</v>
      </c>
      <c r="AB2203" s="8"/>
    </row>
    <row r="2204" spans="1:28" s="4" customFormat="1" ht="42" customHeight="1">
      <c r="A2204" s="5">
        <v>0</v>
      </c>
      <c r="B2204" s="6" t="s">
        <v>12590</v>
      </c>
      <c r="C2204" s="7">
        <v>1732.8</v>
      </c>
      <c r="D2204" s="8" t="s">
        <v>12591</v>
      </c>
      <c r="E2204" s="8" t="s">
        <v>12592</v>
      </c>
      <c r="F2204" s="8" t="s">
        <v>6219</v>
      </c>
      <c r="G2204" s="6" t="s">
        <v>81</v>
      </c>
      <c r="H2204" s="6" t="s">
        <v>99</v>
      </c>
      <c r="I2204" s="8"/>
      <c r="J2204" s="9">
        <v>1</v>
      </c>
      <c r="K2204" s="9">
        <v>320</v>
      </c>
      <c r="L2204" s="9">
        <v>2023</v>
      </c>
      <c r="M2204" s="8" t="s">
        <v>12593</v>
      </c>
      <c r="N2204" s="8" t="s">
        <v>42</v>
      </c>
      <c r="O2204" s="8" t="s">
        <v>101</v>
      </c>
      <c r="P2204" s="6" t="s">
        <v>44</v>
      </c>
      <c r="Q2204" s="8" t="s">
        <v>45</v>
      </c>
      <c r="R2204" s="10" t="s">
        <v>874</v>
      </c>
      <c r="S2204" s="11"/>
      <c r="T2204" s="6"/>
      <c r="U2204" s="24" t="str">
        <f>HYPERLINK("https://media.infra-m.ru/1920/1920349/cover/1920349.jpg", "Обложка")</f>
        <v>Обложка</v>
      </c>
      <c r="V2204" s="24" t="str">
        <f>HYPERLINK("https://znanium.ru/catalog/product/1857920", "Ознакомиться")</f>
        <v>Ознакомиться</v>
      </c>
      <c r="W2204" s="8" t="s">
        <v>565</v>
      </c>
      <c r="X2204" s="6"/>
      <c r="Y2204" s="6"/>
      <c r="Z2204" s="6"/>
      <c r="AA2204" s="6" t="s">
        <v>76</v>
      </c>
      <c r="AB2204" s="8"/>
    </row>
    <row r="2205" spans="1:28" s="4" customFormat="1" ht="51.95" customHeight="1">
      <c r="A2205" s="5">
        <v>0</v>
      </c>
      <c r="B2205" s="6" t="s">
        <v>12594</v>
      </c>
      <c r="C2205" s="7">
        <v>1049.9000000000001</v>
      </c>
      <c r="D2205" s="8" t="s">
        <v>12595</v>
      </c>
      <c r="E2205" s="8" t="s">
        <v>12596</v>
      </c>
      <c r="F2205" s="8" t="s">
        <v>12597</v>
      </c>
      <c r="G2205" s="6" t="s">
        <v>132</v>
      </c>
      <c r="H2205" s="6" t="s">
        <v>99</v>
      </c>
      <c r="I2205" s="8"/>
      <c r="J2205" s="9">
        <v>1</v>
      </c>
      <c r="K2205" s="9">
        <v>256</v>
      </c>
      <c r="L2205" s="9">
        <v>2019</v>
      </c>
      <c r="M2205" s="8" t="s">
        <v>12598</v>
      </c>
      <c r="N2205" s="8" t="s">
        <v>42</v>
      </c>
      <c r="O2205" s="8" t="s">
        <v>101</v>
      </c>
      <c r="P2205" s="6" t="s">
        <v>239</v>
      </c>
      <c r="Q2205" s="8" t="s">
        <v>287</v>
      </c>
      <c r="R2205" s="10" t="s">
        <v>4832</v>
      </c>
      <c r="S2205" s="11"/>
      <c r="T2205" s="6"/>
      <c r="U2205" s="24" t="str">
        <f>HYPERLINK("https://media.infra-m.ru/0988/0988093/cover/988093.jpg", "Обложка")</f>
        <v>Обложка</v>
      </c>
      <c r="V2205" s="24" t="str">
        <f>HYPERLINK("https://znanium.ru/catalog/product/1221174", "Ознакомиться")</f>
        <v>Ознакомиться</v>
      </c>
      <c r="W2205" s="8" t="s">
        <v>565</v>
      </c>
      <c r="X2205" s="6"/>
      <c r="Y2205" s="6"/>
      <c r="Z2205" s="6"/>
      <c r="AA2205" s="6" t="s">
        <v>290</v>
      </c>
      <c r="AB2205" s="8"/>
    </row>
    <row r="2206" spans="1:28" s="4" customFormat="1" ht="44.1" customHeight="1">
      <c r="A2206" s="5">
        <v>0</v>
      </c>
      <c r="B2206" s="6" t="s">
        <v>12599</v>
      </c>
      <c r="C2206" s="7">
        <v>2200.8000000000002</v>
      </c>
      <c r="D2206" s="8" t="s">
        <v>12600</v>
      </c>
      <c r="E2206" s="8" t="s">
        <v>12601</v>
      </c>
      <c r="F2206" s="8" t="s">
        <v>12602</v>
      </c>
      <c r="G2206" s="6" t="s">
        <v>26</v>
      </c>
      <c r="H2206" s="6" t="s">
        <v>99</v>
      </c>
      <c r="I2206" s="8"/>
      <c r="J2206" s="9">
        <v>1</v>
      </c>
      <c r="K2206" s="9">
        <v>352</v>
      </c>
      <c r="L2206" s="9">
        <v>2025</v>
      </c>
      <c r="M2206" s="8" t="s">
        <v>12603</v>
      </c>
      <c r="N2206" s="8" t="s">
        <v>42</v>
      </c>
      <c r="O2206" s="8" t="s">
        <v>101</v>
      </c>
      <c r="P2206" s="6" t="s">
        <v>44</v>
      </c>
      <c r="Q2206" s="8" t="s">
        <v>416</v>
      </c>
      <c r="R2206" s="10" t="s">
        <v>2606</v>
      </c>
      <c r="S2206" s="11"/>
      <c r="T2206" s="6"/>
      <c r="U2206" s="24" t="str">
        <f>HYPERLINK("https://media.infra-m.ru/2192/2192438/cover/2192438.jpg", "Обложка")</f>
        <v>Обложка</v>
      </c>
      <c r="V2206" s="24" t="str">
        <f>HYPERLINK("https://znanium.ru/catalog/product/1221172", "Ознакомиться")</f>
        <v>Ознакомиться</v>
      </c>
      <c r="W2206" s="8" t="s">
        <v>565</v>
      </c>
      <c r="X2206" s="6"/>
      <c r="Y2206" s="6"/>
      <c r="Z2206" s="6"/>
      <c r="AA2206" s="6" t="s">
        <v>290</v>
      </c>
      <c r="AB2206" s="8"/>
    </row>
    <row r="2207" spans="1:28" s="4" customFormat="1" ht="51.95" customHeight="1">
      <c r="A2207" s="5">
        <v>0</v>
      </c>
      <c r="B2207" s="6" t="s">
        <v>12604</v>
      </c>
      <c r="C2207" s="7">
        <v>1680</v>
      </c>
      <c r="D2207" s="8" t="s">
        <v>12605</v>
      </c>
      <c r="E2207" s="8" t="s">
        <v>12606</v>
      </c>
      <c r="F2207" s="8" t="s">
        <v>12607</v>
      </c>
      <c r="G2207" s="6" t="s">
        <v>81</v>
      </c>
      <c r="H2207" s="6" t="s">
        <v>182</v>
      </c>
      <c r="I2207" s="8" t="s">
        <v>40</v>
      </c>
      <c r="J2207" s="9">
        <v>1</v>
      </c>
      <c r="K2207" s="9">
        <v>304</v>
      </c>
      <c r="L2207" s="9">
        <v>2023</v>
      </c>
      <c r="M2207" s="8" t="s">
        <v>12608</v>
      </c>
      <c r="N2207" s="8" t="s">
        <v>42</v>
      </c>
      <c r="O2207" s="8" t="s">
        <v>65</v>
      </c>
      <c r="P2207" s="6" t="s">
        <v>44</v>
      </c>
      <c r="Q2207" s="8" t="s">
        <v>45</v>
      </c>
      <c r="R2207" s="10" t="s">
        <v>12609</v>
      </c>
      <c r="S2207" s="11"/>
      <c r="T2207" s="6"/>
      <c r="U2207" s="24" t="str">
        <f>HYPERLINK("https://media.infra-m.ru/1979/1979153/cover/1979153.jpg", "Обложка")</f>
        <v>Обложка</v>
      </c>
      <c r="V2207" s="12"/>
      <c r="W2207" s="8" t="s">
        <v>1594</v>
      </c>
      <c r="X2207" s="6"/>
      <c r="Y2207" s="6"/>
      <c r="Z2207" s="6"/>
      <c r="AA2207" s="6" t="s">
        <v>424</v>
      </c>
      <c r="AB2207" s="8"/>
    </row>
    <row r="2208" spans="1:28" s="4" customFormat="1" ht="51.95" customHeight="1">
      <c r="A2208" s="5">
        <v>0</v>
      </c>
      <c r="B2208" s="6" t="s">
        <v>12610</v>
      </c>
      <c r="C2208" s="7">
        <v>1044</v>
      </c>
      <c r="D2208" s="8" t="s">
        <v>12611</v>
      </c>
      <c r="E2208" s="8" t="s">
        <v>12612</v>
      </c>
      <c r="F2208" s="8" t="s">
        <v>12607</v>
      </c>
      <c r="G2208" s="6" t="s">
        <v>132</v>
      </c>
      <c r="H2208" s="6" t="s">
        <v>182</v>
      </c>
      <c r="I2208" s="8" t="s">
        <v>40</v>
      </c>
      <c r="J2208" s="9">
        <v>1</v>
      </c>
      <c r="K2208" s="9">
        <v>248</v>
      </c>
      <c r="L2208" s="9">
        <v>2020</v>
      </c>
      <c r="M2208" s="8" t="s">
        <v>12613</v>
      </c>
      <c r="N2208" s="8" t="s">
        <v>42</v>
      </c>
      <c r="O2208" s="8" t="s">
        <v>65</v>
      </c>
      <c r="P2208" s="6" t="s">
        <v>44</v>
      </c>
      <c r="Q2208" s="8" t="s">
        <v>45</v>
      </c>
      <c r="R2208" s="10" t="s">
        <v>12609</v>
      </c>
      <c r="S2208" s="11"/>
      <c r="T2208" s="6"/>
      <c r="U2208" s="24" t="str">
        <f>HYPERLINK("https://media.infra-m.ru/1061/1061615/cover/1061615.jpg", "Обложка")</f>
        <v>Обложка</v>
      </c>
      <c r="V2208" s="12"/>
      <c r="W2208" s="8" t="s">
        <v>1594</v>
      </c>
      <c r="X2208" s="6"/>
      <c r="Y2208" s="6"/>
      <c r="Z2208" s="6"/>
      <c r="AA2208" s="6" t="s">
        <v>76</v>
      </c>
      <c r="AB2208" s="8"/>
    </row>
    <row r="2209" spans="1:28" s="4" customFormat="1" ht="51.95" customHeight="1">
      <c r="A2209" s="5">
        <v>0</v>
      </c>
      <c r="B2209" s="6" t="s">
        <v>12614</v>
      </c>
      <c r="C2209" s="7">
        <v>1013.9</v>
      </c>
      <c r="D2209" s="8" t="s">
        <v>12615</v>
      </c>
      <c r="E2209" s="8" t="s">
        <v>12616</v>
      </c>
      <c r="F2209" s="8" t="s">
        <v>12617</v>
      </c>
      <c r="G2209" s="6" t="s">
        <v>38</v>
      </c>
      <c r="H2209" s="6" t="s">
        <v>39</v>
      </c>
      <c r="I2209" s="8" t="s">
        <v>40</v>
      </c>
      <c r="J2209" s="9">
        <v>1</v>
      </c>
      <c r="K2209" s="9">
        <v>188</v>
      </c>
      <c r="L2209" s="9">
        <v>2023</v>
      </c>
      <c r="M2209" s="8" t="s">
        <v>12618</v>
      </c>
      <c r="N2209" s="8" t="s">
        <v>42</v>
      </c>
      <c r="O2209" s="8" t="s">
        <v>189</v>
      </c>
      <c r="P2209" s="6" t="s">
        <v>44</v>
      </c>
      <c r="Q2209" s="8" t="s">
        <v>45</v>
      </c>
      <c r="R2209" s="10" t="s">
        <v>12619</v>
      </c>
      <c r="S2209" s="11"/>
      <c r="T2209" s="6"/>
      <c r="U2209" s="24" t="str">
        <f>HYPERLINK("https://media.infra-m.ru/1899/1899823/cover/1899823.jpg", "Обложка")</f>
        <v>Обложка</v>
      </c>
      <c r="V2209" s="24" t="str">
        <f>HYPERLINK("https://znanium.ru/catalog/product/1840116", "Ознакомиться")</f>
        <v>Ознакомиться</v>
      </c>
      <c r="W2209" s="8" t="s">
        <v>346</v>
      </c>
      <c r="X2209" s="6"/>
      <c r="Y2209" s="6"/>
      <c r="Z2209" s="6"/>
      <c r="AA2209" s="6" t="s">
        <v>290</v>
      </c>
      <c r="AB2209" s="8"/>
    </row>
    <row r="2210" spans="1:28" s="4" customFormat="1" ht="51.95" customHeight="1">
      <c r="A2210" s="5">
        <v>0</v>
      </c>
      <c r="B2210" s="6" t="s">
        <v>12620</v>
      </c>
      <c r="C2210" s="13">
        <v>809.9</v>
      </c>
      <c r="D2210" s="8" t="s">
        <v>12621</v>
      </c>
      <c r="E2210" s="8" t="s">
        <v>12622</v>
      </c>
      <c r="F2210" s="8" t="s">
        <v>12623</v>
      </c>
      <c r="G2210" s="6" t="s">
        <v>38</v>
      </c>
      <c r="H2210" s="6" t="s">
        <v>39</v>
      </c>
      <c r="I2210" s="8" t="s">
        <v>40</v>
      </c>
      <c r="J2210" s="9">
        <v>1</v>
      </c>
      <c r="K2210" s="9">
        <v>150</v>
      </c>
      <c r="L2210" s="9">
        <v>2023</v>
      </c>
      <c r="M2210" s="8" t="s">
        <v>12624</v>
      </c>
      <c r="N2210" s="8" t="s">
        <v>54</v>
      </c>
      <c r="O2210" s="8" t="s">
        <v>55</v>
      </c>
      <c r="P2210" s="6" t="s">
        <v>44</v>
      </c>
      <c r="Q2210" s="8" t="s">
        <v>45</v>
      </c>
      <c r="R2210" s="10" t="s">
        <v>5374</v>
      </c>
      <c r="S2210" s="11"/>
      <c r="T2210" s="6"/>
      <c r="U2210" s="24" t="str">
        <f>HYPERLINK("https://media.infra-m.ru/1896/1896425/cover/1896425.jpg", "Обложка")</f>
        <v>Обложка</v>
      </c>
      <c r="V2210" s="24" t="str">
        <f>HYPERLINK("https://znanium.ru/catalog/product/1078338", "Ознакомиться")</f>
        <v>Ознакомиться</v>
      </c>
      <c r="W2210" s="8" t="s">
        <v>817</v>
      </c>
      <c r="X2210" s="6"/>
      <c r="Y2210" s="6"/>
      <c r="Z2210" s="6"/>
      <c r="AA2210" s="6" t="s">
        <v>127</v>
      </c>
      <c r="AB2210" s="8"/>
    </row>
    <row r="2211" spans="1:28" s="4" customFormat="1" ht="44.1" customHeight="1">
      <c r="A2211" s="5">
        <v>0</v>
      </c>
      <c r="B2211" s="6" t="s">
        <v>12625</v>
      </c>
      <c r="C2211" s="7">
        <v>1200</v>
      </c>
      <c r="D2211" s="8" t="s">
        <v>12626</v>
      </c>
      <c r="E2211" s="8" t="s">
        <v>12627</v>
      </c>
      <c r="F2211" s="8" t="s">
        <v>12628</v>
      </c>
      <c r="G2211" s="6" t="s">
        <v>38</v>
      </c>
      <c r="H2211" s="6" t="s">
        <v>39</v>
      </c>
      <c r="I2211" s="8" t="s">
        <v>40</v>
      </c>
      <c r="J2211" s="9">
        <v>1</v>
      </c>
      <c r="K2211" s="9">
        <v>220</v>
      </c>
      <c r="L2211" s="9">
        <v>2022</v>
      </c>
      <c r="M2211" s="8" t="s">
        <v>12629</v>
      </c>
      <c r="N2211" s="8" t="s">
        <v>220</v>
      </c>
      <c r="O2211" s="8" t="s">
        <v>252</v>
      </c>
      <c r="P2211" s="6" t="s">
        <v>44</v>
      </c>
      <c r="Q2211" s="8" t="s">
        <v>45</v>
      </c>
      <c r="R2211" s="10" t="s">
        <v>12630</v>
      </c>
      <c r="S2211" s="11"/>
      <c r="T2211" s="6"/>
      <c r="U2211" s="24" t="str">
        <f>HYPERLINK("https://media.infra-m.ru/1093/1093109/cover/1093109.jpg", "Обложка")</f>
        <v>Обложка</v>
      </c>
      <c r="V2211" s="24" t="str">
        <f>HYPERLINK("https://znanium.ru/catalog/product/1093109", "Ознакомиться")</f>
        <v>Ознакомиться</v>
      </c>
      <c r="W2211" s="8" t="s">
        <v>509</v>
      </c>
      <c r="X2211" s="6"/>
      <c r="Y2211" s="6"/>
      <c r="Z2211" s="6"/>
      <c r="AA2211" s="6" t="s">
        <v>168</v>
      </c>
      <c r="AB2211" s="8"/>
    </row>
    <row r="2212" spans="1:28" s="4" customFormat="1" ht="51.95" customHeight="1">
      <c r="A2212" s="5">
        <v>0</v>
      </c>
      <c r="B2212" s="6" t="s">
        <v>12631</v>
      </c>
      <c r="C2212" s="7">
        <v>2352</v>
      </c>
      <c r="D2212" s="8" t="s">
        <v>12632</v>
      </c>
      <c r="E2212" s="8" t="s">
        <v>12633</v>
      </c>
      <c r="F2212" s="8" t="s">
        <v>3375</v>
      </c>
      <c r="G2212" s="6" t="s">
        <v>132</v>
      </c>
      <c r="H2212" s="6" t="s">
        <v>39</v>
      </c>
      <c r="I2212" s="8" t="s">
        <v>40</v>
      </c>
      <c r="J2212" s="9">
        <v>1</v>
      </c>
      <c r="K2212" s="9">
        <v>356</v>
      </c>
      <c r="L2212" s="9">
        <v>2026</v>
      </c>
      <c r="M2212" s="8" t="s">
        <v>12634</v>
      </c>
      <c r="N2212" s="8" t="s">
        <v>42</v>
      </c>
      <c r="O2212" s="8" t="s">
        <v>43</v>
      </c>
      <c r="P2212" s="6" t="s">
        <v>44</v>
      </c>
      <c r="Q2212" s="8" t="s">
        <v>45</v>
      </c>
      <c r="R2212" s="10" t="s">
        <v>12635</v>
      </c>
      <c r="S2212" s="11"/>
      <c r="T2212" s="6"/>
      <c r="U2212" s="24" t="str">
        <f>HYPERLINK("https://media.infra-m.ru/2189/2189209/cover/2189209.jpg", "Обложка")</f>
        <v>Обложка</v>
      </c>
      <c r="V2212" s="24" t="str">
        <f>HYPERLINK("https://znanium.ru/catalog/product/2189209", "Ознакомиться")</f>
        <v>Ознакомиться</v>
      </c>
      <c r="W2212" s="8" t="s">
        <v>3378</v>
      </c>
      <c r="X2212" s="6" t="s">
        <v>838</v>
      </c>
      <c r="Y2212" s="6"/>
      <c r="Z2212" s="6"/>
      <c r="AA2212" s="6" t="s">
        <v>833</v>
      </c>
      <c r="AB2212" s="8" t="s">
        <v>1101</v>
      </c>
    </row>
    <row r="2213" spans="1:28" s="4" customFormat="1" ht="42" customHeight="1">
      <c r="A2213" s="5">
        <v>0</v>
      </c>
      <c r="B2213" s="6" t="s">
        <v>12636</v>
      </c>
      <c r="C2213" s="7">
        <v>1620</v>
      </c>
      <c r="D2213" s="8" t="s">
        <v>12637</v>
      </c>
      <c r="E2213" s="8" t="s">
        <v>12638</v>
      </c>
      <c r="F2213" s="8" t="s">
        <v>12639</v>
      </c>
      <c r="G2213" s="6" t="s">
        <v>81</v>
      </c>
      <c r="H2213" s="6" t="s">
        <v>39</v>
      </c>
      <c r="I2213" s="8" t="s">
        <v>344</v>
      </c>
      <c r="J2213" s="9">
        <v>1</v>
      </c>
      <c r="K2213" s="9">
        <v>259</v>
      </c>
      <c r="L2213" s="9">
        <v>2025</v>
      </c>
      <c r="M2213" s="8" t="s">
        <v>12640</v>
      </c>
      <c r="N2213" s="8" t="s">
        <v>54</v>
      </c>
      <c r="O2213" s="8" t="s">
        <v>55</v>
      </c>
      <c r="P2213" s="6" t="s">
        <v>44</v>
      </c>
      <c r="Q2213" s="8" t="s">
        <v>45</v>
      </c>
      <c r="R2213" s="10" t="s">
        <v>1487</v>
      </c>
      <c r="S2213" s="11"/>
      <c r="T2213" s="6"/>
      <c r="U2213" s="24" t="str">
        <f>HYPERLINK("https://media.infra-m.ru/2206/2206793/cover/2206793.jpg", "Обложка")</f>
        <v>Обложка</v>
      </c>
      <c r="V2213" s="12"/>
      <c r="W2213" s="8" t="s">
        <v>346</v>
      </c>
      <c r="X2213" s="6"/>
      <c r="Y2213" s="6"/>
      <c r="Z2213" s="6"/>
      <c r="AA2213" s="6" t="s">
        <v>68</v>
      </c>
      <c r="AB2213" s="8"/>
    </row>
    <row r="2214" spans="1:28" s="4" customFormat="1" ht="42" customHeight="1">
      <c r="A2214" s="5">
        <v>0</v>
      </c>
      <c r="B2214" s="6" t="s">
        <v>12641</v>
      </c>
      <c r="C2214" s="13">
        <v>900</v>
      </c>
      <c r="D2214" s="8" t="s">
        <v>12642</v>
      </c>
      <c r="E2214" s="8" t="s">
        <v>12643</v>
      </c>
      <c r="F2214" s="8" t="s">
        <v>4939</v>
      </c>
      <c r="G2214" s="6" t="s">
        <v>38</v>
      </c>
      <c r="H2214" s="6" t="s">
        <v>39</v>
      </c>
      <c r="I2214" s="8" t="s">
        <v>40</v>
      </c>
      <c r="J2214" s="9">
        <v>1</v>
      </c>
      <c r="K2214" s="9">
        <v>160</v>
      </c>
      <c r="L2214" s="9">
        <v>2023</v>
      </c>
      <c r="M2214" s="8" t="s">
        <v>12644</v>
      </c>
      <c r="N2214" s="8" t="s">
        <v>42</v>
      </c>
      <c r="O2214" s="8" t="s">
        <v>101</v>
      </c>
      <c r="P2214" s="6" t="s">
        <v>44</v>
      </c>
      <c r="Q2214" s="8" t="s">
        <v>45</v>
      </c>
      <c r="R2214" s="10" t="s">
        <v>2300</v>
      </c>
      <c r="S2214" s="11"/>
      <c r="T2214" s="6"/>
      <c r="U2214" s="24" t="str">
        <f>HYPERLINK("https://media.infra-m.ru/1894/1894020/cover/1894020.jpg", "Обложка")</f>
        <v>Обложка</v>
      </c>
      <c r="V2214" s="24" t="str">
        <f>HYPERLINK("https://znanium.ru/catalog/product/1894020", "Ознакомиться")</f>
        <v>Ознакомиться</v>
      </c>
      <c r="W2214" s="8" t="s">
        <v>565</v>
      </c>
      <c r="X2214" s="6"/>
      <c r="Y2214" s="6"/>
      <c r="Z2214" s="6"/>
      <c r="AA2214" s="6" t="s">
        <v>377</v>
      </c>
      <c r="AB2214" s="8"/>
    </row>
    <row r="2215" spans="1:28" s="4" customFormat="1" ht="42" customHeight="1">
      <c r="A2215" s="5">
        <v>0</v>
      </c>
      <c r="B2215" s="6" t="s">
        <v>12645</v>
      </c>
      <c r="C2215" s="13">
        <v>696</v>
      </c>
      <c r="D2215" s="8" t="s">
        <v>12646</v>
      </c>
      <c r="E2215" s="8" t="s">
        <v>12647</v>
      </c>
      <c r="F2215" s="8" t="s">
        <v>12648</v>
      </c>
      <c r="G2215" s="6" t="s">
        <v>38</v>
      </c>
      <c r="H2215" s="6" t="s">
        <v>39</v>
      </c>
      <c r="I2215" s="8" t="s">
        <v>40</v>
      </c>
      <c r="J2215" s="9">
        <v>1</v>
      </c>
      <c r="K2215" s="9">
        <v>124</v>
      </c>
      <c r="L2215" s="9">
        <v>2024</v>
      </c>
      <c r="M2215" s="8" t="s">
        <v>12649</v>
      </c>
      <c r="N2215" s="8" t="s">
        <v>42</v>
      </c>
      <c r="O2215" s="8" t="s">
        <v>189</v>
      </c>
      <c r="P2215" s="6" t="s">
        <v>44</v>
      </c>
      <c r="Q2215" s="8" t="s">
        <v>45</v>
      </c>
      <c r="R2215" s="10" t="s">
        <v>2472</v>
      </c>
      <c r="S2215" s="11"/>
      <c r="T2215" s="6"/>
      <c r="U2215" s="24" t="str">
        <f>HYPERLINK("https://media.infra-m.ru/2117/2117123/cover/2117123.jpg", "Обложка")</f>
        <v>Обложка</v>
      </c>
      <c r="V2215" s="24" t="str">
        <f>HYPERLINK("https://znanium.ru/catalog/product/2117123", "Ознакомиться")</f>
        <v>Ознакомиться</v>
      </c>
      <c r="W2215" s="8" t="s">
        <v>167</v>
      </c>
      <c r="X2215" s="6"/>
      <c r="Y2215" s="6"/>
      <c r="Z2215" s="6"/>
      <c r="AA2215" s="6" t="s">
        <v>339</v>
      </c>
      <c r="AB2215" s="8"/>
    </row>
    <row r="2216" spans="1:28" s="4" customFormat="1" ht="42" customHeight="1">
      <c r="A2216" s="5">
        <v>0</v>
      </c>
      <c r="B2216" s="6" t="s">
        <v>12650</v>
      </c>
      <c r="C2216" s="13">
        <v>936</v>
      </c>
      <c r="D2216" s="8" t="s">
        <v>12651</v>
      </c>
      <c r="E2216" s="8" t="s">
        <v>12652</v>
      </c>
      <c r="F2216" s="8" t="s">
        <v>12653</v>
      </c>
      <c r="G2216" s="6" t="s">
        <v>38</v>
      </c>
      <c r="H2216" s="6" t="s">
        <v>39</v>
      </c>
      <c r="I2216" s="8" t="s">
        <v>1803</v>
      </c>
      <c r="J2216" s="9">
        <v>1</v>
      </c>
      <c r="K2216" s="9">
        <v>199</v>
      </c>
      <c r="L2216" s="9">
        <v>2022</v>
      </c>
      <c r="M2216" s="8" t="s">
        <v>12654</v>
      </c>
      <c r="N2216" s="8" t="s">
        <v>54</v>
      </c>
      <c r="O2216" s="8" t="s">
        <v>91</v>
      </c>
      <c r="P2216" s="6" t="s">
        <v>44</v>
      </c>
      <c r="Q2216" s="8" t="s">
        <v>45</v>
      </c>
      <c r="R2216" s="10" t="s">
        <v>1677</v>
      </c>
      <c r="S2216" s="11"/>
      <c r="T2216" s="6"/>
      <c r="U2216" s="24" t="str">
        <f>HYPERLINK("https://media.infra-m.ru/1862/1862661/cover/1862661.jpg", "Обложка")</f>
        <v>Обложка</v>
      </c>
      <c r="V2216" s="24" t="str">
        <f>HYPERLINK("https://znanium.ru/catalog/product/1862661", "Ознакомиться")</f>
        <v>Ознакомиться</v>
      </c>
      <c r="W2216" s="8" t="s">
        <v>305</v>
      </c>
      <c r="X2216" s="6"/>
      <c r="Y2216" s="6"/>
      <c r="Z2216" s="6"/>
      <c r="AA2216" s="6" t="s">
        <v>76</v>
      </c>
      <c r="AB2216" s="8"/>
    </row>
    <row r="2217" spans="1:28" s="4" customFormat="1" ht="42" customHeight="1">
      <c r="A2217" s="5">
        <v>0</v>
      </c>
      <c r="B2217" s="6" t="s">
        <v>12655</v>
      </c>
      <c r="C2217" s="7">
        <v>1200</v>
      </c>
      <c r="D2217" s="8" t="s">
        <v>12656</v>
      </c>
      <c r="E2217" s="8" t="s">
        <v>12657</v>
      </c>
      <c r="F2217" s="8" t="s">
        <v>72</v>
      </c>
      <c r="G2217" s="6" t="s">
        <v>38</v>
      </c>
      <c r="H2217" s="6" t="s">
        <v>39</v>
      </c>
      <c r="I2217" s="8" t="s">
        <v>40</v>
      </c>
      <c r="J2217" s="9">
        <v>1</v>
      </c>
      <c r="K2217" s="9">
        <v>192</v>
      </c>
      <c r="L2217" s="9">
        <v>2025</v>
      </c>
      <c r="M2217" s="8" t="s">
        <v>12658</v>
      </c>
      <c r="N2217" s="8" t="s">
        <v>54</v>
      </c>
      <c r="O2217" s="8" t="s">
        <v>55</v>
      </c>
      <c r="P2217" s="6" t="s">
        <v>44</v>
      </c>
      <c r="Q2217" s="8" t="s">
        <v>45</v>
      </c>
      <c r="R2217" s="10" t="s">
        <v>5355</v>
      </c>
      <c r="S2217" s="11"/>
      <c r="T2217" s="6"/>
      <c r="U2217" s="24" t="str">
        <f>HYPERLINK("https://media.infra-m.ru/2174/2174705/cover/2174705.jpg", "Обложка")</f>
        <v>Обложка</v>
      </c>
      <c r="V2217" s="24" t="str">
        <f>HYPERLINK("https://znanium.ru/catalog/product/2174705", "Ознакомиться")</f>
        <v>Ознакомиться</v>
      </c>
      <c r="W2217" s="8" t="s">
        <v>75</v>
      </c>
      <c r="X2217" s="6" t="s">
        <v>558</v>
      </c>
      <c r="Y2217" s="6"/>
      <c r="Z2217" s="6"/>
      <c r="AA2217" s="6" t="s">
        <v>159</v>
      </c>
      <c r="AB2217" s="8"/>
    </row>
    <row r="2218" spans="1:28" s="4" customFormat="1" ht="51.95" customHeight="1">
      <c r="A2218" s="5">
        <v>0</v>
      </c>
      <c r="B2218" s="6" t="s">
        <v>12659</v>
      </c>
      <c r="C2218" s="13">
        <v>636</v>
      </c>
      <c r="D2218" s="8" t="s">
        <v>12660</v>
      </c>
      <c r="E2218" s="8" t="s">
        <v>12661</v>
      </c>
      <c r="F2218" s="8" t="s">
        <v>12662</v>
      </c>
      <c r="G2218" s="6" t="s">
        <v>38</v>
      </c>
      <c r="H2218" s="6" t="s">
        <v>39</v>
      </c>
      <c r="I2218" s="8" t="s">
        <v>40</v>
      </c>
      <c r="J2218" s="9">
        <v>1</v>
      </c>
      <c r="K2218" s="9">
        <v>112</v>
      </c>
      <c r="L2218" s="9">
        <v>2023</v>
      </c>
      <c r="M2218" s="8" t="s">
        <v>12663</v>
      </c>
      <c r="N2218" s="8" t="s">
        <v>54</v>
      </c>
      <c r="O2218" s="8" t="s">
        <v>55</v>
      </c>
      <c r="P2218" s="6" t="s">
        <v>44</v>
      </c>
      <c r="Q2218" s="8" t="s">
        <v>45</v>
      </c>
      <c r="R2218" s="10" t="s">
        <v>12664</v>
      </c>
      <c r="S2218" s="11"/>
      <c r="T2218" s="6"/>
      <c r="U2218" s="24" t="str">
        <f>HYPERLINK("https://media.infra-m.ru/2017/2017322/cover/2017322.jpg", "Обложка")</f>
        <v>Обложка</v>
      </c>
      <c r="V2218" s="24" t="str">
        <f>HYPERLINK("https://znanium.ru/catalog/product/2017322", "Ознакомиться")</f>
        <v>Ознакомиться</v>
      </c>
      <c r="W2218" s="8" t="s">
        <v>3004</v>
      </c>
      <c r="X2218" s="6"/>
      <c r="Y2218" s="6"/>
      <c r="Z2218" s="6"/>
      <c r="AA2218" s="6" t="s">
        <v>68</v>
      </c>
      <c r="AB2218" s="8"/>
    </row>
    <row r="2219" spans="1:28" s="4" customFormat="1" ht="51.95" customHeight="1">
      <c r="A2219" s="5">
        <v>0</v>
      </c>
      <c r="B2219" s="6" t="s">
        <v>12665</v>
      </c>
      <c r="C2219" s="13">
        <v>672</v>
      </c>
      <c r="D2219" s="8" t="s">
        <v>12666</v>
      </c>
      <c r="E2219" s="8" t="s">
        <v>12667</v>
      </c>
      <c r="F2219" s="8" t="s">
        <v>12668</v>
      </c>
      <c r="G2219" s="6" t="s">
        <v>38</v>
      </c>
      <c r="H2219" s="6" t="s">
        <v>1019</v>
      </c>
      <c r="I2219" s="8" t="s">
        <v>12669</v>
      </c>
      <c r="J2219" s="9">
        <v>1</v>
      </c>
      <c r="K2219" s="9">
        <v>179</v>
      </c>
      <c r="L2219" s="9">
        <v>2018</v>
      </c>
      <c r="M2219" s="8" t="s">
        <v>12670</v>
      </c>
      <c r="N2219" s="8" t="s">
        <v>54</v>
      </c>
      <c r="O2219" s="8" t="s">
        <v>91</v>
      </c>
      <c r="P2219" s="6" t="s">
        <v>44</v>
      </c>
      <c r="Q2219" s="8" t="s">
        <v>45</v>
      </c>
      <c r="R2219" s="10" t="s">
        <v>1507</v>
      </c>
      <c r="S2219" s="11"/>
      <c r="T2219" s="6"/>
      <c r="U2219" s="24" t="str">
        <f>HYPERLINK("https://media.infra-m.ru/0908/0908035/cover/908035.jpg", "Обложка")</f>
        <v>Обложка</v>
      </c>
      <c r="V2219" s="24" t="str">
        <f>HYPERLINK("https://znanium.ru/catalog/product/908035", "Ознакомиться")</f>
        <v>Ознакомиться</v>
      </c>
      <c r="W2219" s="8" t="s">
        <v>232</v>
      </c>
      <c r="X2219" s="6"/>
      <c r="Y2219" s="6"/>
      <c r="Z2219" s="6"/>
      <c r="AA2219" s="6" t="s">
        <v>68</v>
      </c>
      <c r="AB2219" s="8"/>
    </row>
    <row r="2220" spans="1:28" s="4" customFormat="1" ht="42" customHeight="1">
      <c r="A2220" s="5">
        <v>0</v>
      </c>
      <c r="B2220" s="6" t="s">
        <v>12671</v>
      </c>
      <c r="C2220" s="7">
        <v>1776</v>
      </c>
      <c r="D2220" s="8" t="s">
        <v>12672</v>
      </c>
      <c r="E2220" s="8" t="s">
        <v>12673</v>
      </c>
      <c r="F2220" s="8" t="s">
        <v>12674</v>
      </c>
      <c r="G2220" s="6" t="s">
        <v>81</v>
      </c>
      <c r="H2220" s="6" t="s">
        <v>39</v>
      </c>
      <c r="I2220" s="8" t="s">
        <v>40</v>
      </c>
      <c r="J2220" s="9">
        <v>1</v>
      </c>
      <c r="K2220" s="9">
        <v>290</v>
      </c>
      <c r="L2220" s="9">
        <v>2025</v>
      </c>
      <c r="M2220" s="8" t="s">
        <v>12675</v>
      </c>
      <c r="N2220" s="8" t="s">
        <v>284</v>
      </c>
      <c r="O2220" s="8" t="s">
        <v>285</v>
      </c>
      <c r="P2220" s="6" t="s">
        <v>44</v>
      </c>
      <c r="Q2220" s="8" t="s">
        <v>45</v>
      </c>
      <c r="R2220" s="10" t="s">
        <v>12676</v>
      </c>
      <c r="S2220" s="11"/>
      <c r="T2220" s="6"/>
      <c r="U2220" s="24" t="str">
        <f>HYPERLINK("https://media.infra-m.ru/2188/2188321/cover/2188321.jpg", "Обложка")</f>
        <v>Обложка</v>
      </c>
      <c r="V2220" s="24" t="str">
        <f>HYPERLINK("https://znanium.ru/catalog/product/2188321", "Ознакомиться")</f>
        <v>Ознакомиться</v>
      </c>
      <c r="W2220" s="8" t="s">
        <v>368</v>
      </c>
      <c r="X2220" s="6"/>
      <c r="Y2220" s="6"/>
      <c r="Z2220" s="6"/>
      <c r="AA2220" s="6" t="s">
        <v>58</v>
      </c>
      <c r="AB2220" s="8"/>
    </row>
    <row r="2221" spans="1:28" s="4" customFormat="1" ht="51.95" customHeight="1">
      <c r="A2221" s="5">
        <v>0</v>
      </c>
      <c r="B2221" s="6" t="s">
        <v>12677</v>
      </c>
      <c r="C2221" s="7">
        <v>1272</v>
      </c>
      <c r="D2221" s="8" t="s">
        <v>12678</v>
      </c>
      <c r="E2221" s="8" t="s">
        <v>12679</v>
      </c>
      <c r="F2221" s="8" t="s">
        <v>12680</v>
      </c>
      <c r="G2221" s="6" t="s">
        <v>81</v>
      </c>
      <c r="H2221" s="6" t="s">
        <v>39</v>
      </c>
      <c r="I2221" s="8" t="s">
        <v>828</v>
      </c>
      <c r="J2221" s="9">
        <v>1</v>
      </c>
      <c r="K2221" s="9">
        <v>176</v>
      </c>
      <c r="L2221" s="9">
        <v>2025</v>
      </c>
      <c r="M2221" s="8" t="s">
        <v>12681</v>
      </c>
      <c r="N2221" s="8" t="s">
        <v>284</v>
      </c>
      <c r="O2221" s="8" t="s">
        <v>285</v>
      </c>
      <c r="P2221" s="6" t="s">
        <v>1195</v>
      </c>
      <c r="Q2221" s="8" t="s">
        <v>287</v>
      </c>
      <c r="R2221" s="10" t="s">
        <v>12682</v>
      </c>
      <c r="S2221" s="11"/>
      <c r="T2221" s="6"/>
      <c r="U2221" s="24" t="str">
        <f>HYPERLINK("https://media.infra-m.ru/2200/2200001/cover/2200001.jpg", "Обложка")</f>
        <v>Обложка</v>
      </c>
      <c r="V2221" s="24" t="str">
        <f>HYPERLINK("https://znanium.ru/catalog/product/2200001", "Ознакомиться")</f>
        <v>Ознакомиться</v>
      </c>
      <c r="W2221" s="8" t="s">
        <v>8378</v>
      </c>
      <c r="X2221" s="6"/>
      <c r="Y2221" s="6"/>
      <c r="Z2221" s="6"/>
      <c r="AA2221" s="6" t="s">
        <v>58</v>
      </c>
      <c r="AB2221" s="8"/>
    </row>
    <row r="2222" spans="1:28" s="4" customFormat="1" ht="51.95" customHeight="1">
      <c r="A2222" s="5">
        <v>0</v>
      </c>
      <c r="B2222" s="6" t="s">
        <v>12683</v>
      </c>
      <c r="C2222" s="7">
        <v>1192.8</v>
      </c>
      <c r="D2222" s="8" t="s">
        <v>12684</v>
      </c>
      <c r="E2222" s="8" t="s">
        <v>12685</v>
      </c>
      <c r="F2222" s="8" t="s">
        <v>12686</v>
      </c>
      <c r="G2222" s="6" t="s">
        <v>38</v>
      </c>
      <c r="H2222" s="6" t="s">
        <v>39</v>
      </c>
      <c r="I2222" s="8" t="s">
        <v>40</v>
      </c>
      <c r="J2222" s="9">
        <v>1</v>
      </c>
      <c r="K2222" s="9">
        <v>200</v>
      </c>
      <c r="L2222" s="9">
        <v>2025</v>
      </c>
      <c r="M2222" s="8" t="s">
        <v>12687</v>
      </c>
      <c r="N2222" s="8" t="s">
        <v>284</v>
      </c>
      <c r="O2222" s="8" t="s">
        <v>328</v>
      </c>
      <c r="P2222" s="6" t="s">
        <v>44</v>
      </c>
      <c r="Q2222" s="8" t="s">
        <v>45</v>
      </c>
      <c r="R2222" s="10" t="s">
        <v>12688</v>
      </c>
      <c r="S2222" s="11"/>
      <c r="T2222" s="6"/>
      <c r="U2222" s="24" t="str">
        <f>HYPERLINK("https://media.infra-m.ru/2186/2186412/cover/2186412.jpg", "Обложка")</f>
        <v>Обложка</v>
      </c>
      <c r="V2222" s="24" t="str">
        <f>HYPERLINK("https://znanium.ru/catalog/product/1907578", "Ознакомиться")</f>
        <v>Ознакомиться</v>
      </c>
      <c r="W2222" s="8" t="s">
        <v>1601</v>
      </c>
      <c r="X2222" s="6"/>
      <c r="Y2222" s="6"/>
      <c r="Z2222" s="6"/>
      <c r="AA2222" s="6" t="s">
        <v>111</v>
      </c>
      <c r="AB2222" s="8"/>
    </row>
    <row r="2223" spans="1:28" s="4" customFormat="1" ht="51.95" customHeight="1">
      <c r="A2223" s="5">
        <v>0</v>
      </c>
      <c r="B2223" s="6" t="s">
        <v>12689</v>
      </c>
      <c r="C2223" s="7">
        <v>1188</v>
      </c>
      <c r="D2223" s="8" t="s">
        <v>12690</v>
      </c>
      <c r="E2223" s="8" t="s">
        <v>12691</v>
      </c>
      <c r="F2223" s="8" t="s">
        <v>12692</v>
      </c>
      <c r="G2223" s="6" t="s">
        <v>81</v>
      </c>
      <c r="H2223" s="6" t="s">
        <v>99</v>
      </c>
      <c r="I2223" s="8"/>
      <c r="J2223" s="9">
        <v>1</v>
      </c>
      <c r="K2223" s="9">
        <v>240</v>
      </c>
      <c r="L2223" s="9">
        <v>2022</v>
      </c>
      <c r="M2223" s="8" t="s">
        <v>12693</v>
      </c>
      <c r="N2223" s="8" t="s">
        <v>42</v>
      </c>
      <c r="O2223" s="8" t="s">
        <v>101</v>
      </c>
      <c r="P2223" s="6" t="s">
        <v>268</v>
      </c>
      <c r="Q2223" s="8" t="s">
        <v>287</v>
      </c>
      <c r="R2223" s="10" t="s">
        <v>261</v>
      </c>
      <c r="S2223" s="11"/>
      <c r="T2223" s="6"/>
      <c r="U2223" s="24" t="str">
        <f>HYPERLINK("https://media.infra-m.ru/1872/1872304/cover/1872304.jpg", "Обложка")</f>
        <v>Обложка</v>
      </c>
      <c r="V2223" s="24" t="str">
        <f>HYPERLINK("https://znanium.ru/catalog/product/1872304", "Ознакомиться")</f>
        <v>Ознакомиться</v>
      </c>
      <c r="W2223" s="8" t="s">
        <v>103</v>
      </c>
      <c r="X2223" s="6"/>
      <c r="Y2223" s="6"/>
      <c r="Z2223" s="6"/>
      <c r="AA2223" s="6" t="s">
        <v>168</v>
      </c>
      <c r="AB2223" s="8"/>
    </row>
    <row r="2224" spans="1:28" s="4" customFormat="1" ht="44.1" customHeight="1">
      <c r="A2224" s="5">
        <v>0</v>
      </c>
      <c r="B2224" s="6" t="s">
        <v>12694</v>
      </c>
      <c r="C2224" s="13">
        <v>960</v>
      </c>
      <c r="D2224" s="8" t="s">
        <v>12695</v>
      </c>
      <c r="E2224" s="8" t="s">
        <v>12696</v>
      </c>
      <c r="F2224" s="8" t="s">
        <v>12697</v>
      </c>
      <c r="G2224" s="6" t="s">
        <v>38</v>
      </c>
      <c r="H2224" s="6" t="s">
        <v>39</v>
      </c>
      <c r="I2224" s="8" t="s">
        <v>40</v>
      </c>
      <c r="J2224" s="9">
        <v>1</v>
      </c>
      <c r="K2224" s="9">
        <v>213</v>
      </c>
      <c r="L2224" s="9">
        <v>2021</v>
      </c>
      <c r="M2224" s="8" t="s">
        <v>12698</v>
      </c>
      <c r="N2224" s="8" t="s">
        <v>42</v>
      </c>
      <c r="O2224" s="8" t="s">
        <v>189</v>
      </c>
      <c r="P2224" s="6" t="s">
        <v>44</v>
      </c>
      <c r="Q2224" s="8" t="s">
        <v>45</v>
      </c>
      <c r="R2224" s="10" t="s">
        <v>1426</v>
      </c>
      <c r="S2224" s="11"/>
      <c r="T2224" s="6"/>
      <c r="U2224" s="24" t="str">
        <f>HYPERLINK("https://media.infra-m.ru/1080/1080624/cover/1080624.jpg", "Обложка")</f>
        <v>Обложка</v>
      </c>
      <c r="V2224" s="24" t="str">
        <f>HYPERLINK("https://znanium.ru/catalog/product/1080624", "Ознакомиться")</f>
        <v>Ознакомиться</v>
      </c>
      <c r="W2224" s="8" t="s">
        <v>3955</v>
      </c>
      <c r="X2224" s="6"/>
      <c r="Y2224" s="6"/>
      <c r="Z2224" s="6"/>
      <c r="AA2224" s="6" t="s">
        <v>168</v>
      </c>
      <c r="AB2224" s="8" t="s">
        <v>3455</v>
      </c>
    </row>
    <row r="2225" spans="1:28" s="4" customFormat="1" ht="51.95" customHeight="1">
      <c r="A2225" s="5">
        <v>0</v>
      </c>
      <c r="B2225" s="6" t="s">
        <v>12699</v>
      </c>
      <c r="C2225" s="7">
        <v>1192.8</v>
      </c>
      <c r="D2225" s="8" t="s">
        <v>12700</v>
      </c>
      <c r="E2225" s="8" t="s">
        <v>12701</v>
      </c>
      <c r="F2225" s="8" t="s">
        <v>12702</v>
      </c>
      <c r="G2225" s="6" t="s">
        <v>132</v>
      </c>
      <c r="H2225" s="6" t="s">
        <v>99</v>
      </c>
      <c r="I2225" s="8"/>
      <c r="J2225" s="9">
        <v>1</v>
      </c>
      <c r="K2225" s="9">
        <v>192</v>
      </c>
      <c r="L2225" s="9">
        <v>2026</v>
      </c>
      <c r="M2225" s="8" t="s">
        <v>12703</v>
      </c>
      <c r="N2225" s="8" t="s">
        <v>42</v>
      </c>
      <c r="O2225" s="8" t="s">
        <v>101</v>
      </c>
      <c r="P2225" s="6" t="s">
        <v>44</v>
      </c>
      <c r="Q2225" s="8" t="s">
        <v>45</v>
      </c>
      <c r="R2225" s="10" t="s">
        <v>1939</v>
      </c>
      <c r="S2225" s="11"/>
      <c r="T2225" s="6"/>
      <c r="U2225" s="24" t="str">
        <f>HYPERLINK("https://media.infra-m.ru/2220/2220558/cover/2220558.jpg", "Обложка")</f>
        <v>Обложка</v>
      </c>
      <c r="V2225" s="24" t="str">
        <f>HYPERLINK("https://znanium.ru/catalog/product/2082409", "Ознакомиться")</f>
        <v>Ознакомиться</v>
      </c>
      <c r="W2225" s="8" t="s">
        <v>1529</v>
      </c>
      <c r="X2225" s="6"/>
      <c r="Y2225" s="6"/>
      <c r="Z2225" s="6"/>
      <c r="AA2225" s="6" t="s">
        <v>58</v>
      </c>
      <c r="AB2225" s="8"/>
    </row>
    <row r="2226" spans="1:28" s="4" customFormat="1" ht="44.1" customHeight="1">
      <c r="A2226" s="5">
        <v>0</v>
      </c>
      <c r="B2226" s="6" t="s">
        <v>12704</v>
      </c>
      <c r="C2226" s="13">
        <v>648</v>
      </c>
      <c r="D2226" s="8" t="s">
        <v>12705</v>
      </c>
      <c r="E2226" s="8" t="s">
        <v>12706</v>
      </c>
      <c r="F2226" s="8" t="s">
        <v>12707</v>
      </c>
      <c r="G2226" s="6" t="s">
        <v>38</v>
      </c>
      <c r="H2226" s="6" t="s">
        <v>1019</v>
      </c>
      <c r="I2226" s="8" t="s">
        <v>1020</v>
      </c>
      <c r="J2226" s="9">
        <v>1</v>
      </c>
      <c r="K2226" s="9">
        <v>120</v>
      </c>
      <c r="L2226" s="9">
        <v>2023</v>
      </c>
      <c r="M2226" s="8" t="s">
        <v>12708</v>
      </c>
      <c r="N2226" s="8" t="s">
        <v>220</v>
      </c>
      <c r="O2226" s="8" t="s">
        <v>296</v>
      </c>
      <c r="P2226" s="6" t="s">
        <v>44</v>
      </c>
      <c r="Q2226" s="8" t="s">
        <v>45</v>
      </c>
      <c r="R2226" s="10" t="s">
        <v>12709</v>
      </c>
      <c r="S2226" s="11"/>
      <c r="T2226" s="6"/>
      <c r="U2226" s="24" t="str">
        <f>HYPERLINK("https://media.infra-m.ru/2020/2020586/cover/2020586.jpg", "Обложка")</f>
        <v>Обложка</v>
      </c>
      <c r="V2226" s="24" t="str">
        <f>HYPERLINK("https://znanium.ru/catalog/product/2020586", "Ознакомиться")</f>
        <v>Ознакомиться</v>
      </c>
      <c r="W2226" s="8" t="s">
        <v>176</v>
      </c>
      <c r="X2226" s="6"/>
      <c r="Y2226" s="6"/>
      <c r="Z2226" s="6"/>
      <c r="AA2226" s="6" t="s">
        <v>68</v>
      </c>
      <c r="AB2226" s="8"/>
    </row>
    <row r="2227" spans="1:28" s="4" customFormat="1" ht="42" customHeight="1">
      <c r="A2227" s="5">
        <v>0</v>
      </c>
      <c r="B2227" s="6" t="s">
        <v>12710</v>
      </c>
      <c r="C2227" s="7">
        <v>1116</v>
      </c>
      <c r="D2227" s="8" t="s">
        <v>12711</v>
      </c>
      <c r="E2227" s="8" t="s">
        <v>12712</v>
      </c>
      <c r="F2227" s="8" t="s">
        <v>12713</v>
      </c>
      <c r="G2227" s="6" t="s">
        <v>38</v>
      </c>
      <c r="H2227" s="6" t="s">
        <v>39</v>
      </c>
      <c r="I2227" s="8" t="s">
        <v>164</v>
      </c>
      <c r="J2227" s="9">
        <v>1</v>
      </c>
      <c r="K2227" s="9">
        <v>181</v>
      </c>
      <c r="L2227" s="9">
        <v>2023</v>
      </c>
      <c r="M2227" s="8" t="s">
        <v>12714</v>
      </c>
      <c r="N2227" s="8" t="s">
        <v>42</v>
      </c>
      <c r="O2227" s="8" t="s">
        <v>189</v>
      </c>
      <c r="P2227" s="6" t="s">
        <v>44</v>
      </c>
      <c r="Q2227" s="8" t="s">
        <v>45</v>
      </c>
      <c r="R2227" s="10" t="s">
        <v>1426</v>
      </c>
      <c r="S2227" s="11"/>
      <c r="T2227" s="6"/>
      <c r="U2227" s="24" t="str">
        <f>HYPERLINK("https://media.infra-m.ru/1098/1098270/cover/1098270.jpg", "Обложка")</f>
        <v>Обложка</v>
      </c>
      <c r="V2227" s="24" t="str">
        <f>HYPERLINK("https://znanium.ru/catalog/product/1098270", "Ознакомиться")</f>
        <v>Ознакомиться</v>
      </c>
      <c r="W2227" s="8" t="s">
        <v>167</v>
      </c>
      <c r="X2227" s="6"/>
      <c r="Y2227" s="6"/>
      <c r="Z2227" s="6"/>
      <c r="AA2227" s="6" t="s">
        <v>119</v>
      </c>
      <c r="AB2227" s="8"/>
    </row>
    <row r="2228" spans="1:28" s="4" customFormat="1" ht="44.1" customHeight="1">
      <c r="A2228" s="5">
        <v>0</v>
      </c>
      <c r="B2228" s="6" t="s">
        <v>12715</v>
      </c>
      <c r="C2228" s="13">
        <v>844.8</v>
      </c>
      <c r="D2228" s="8" t="s">
        <v>12716</v>
      </c>
      <c r="E2228" s="8" t="s">
        <v>12717</v>
      </c>
      <c r="F2228" s="8" t="s">
        <v>10370</v>
      </c>
      <c r="G2228" s="6" t="s">
        <v>38</v>
      </c>
      <c r="H2228" s="6" t="s">
        <v>39</v>
      </c>
      <c r="I2228" s="8" t="s">
        <v>40</v>
      </c>
      <c r="J2228" s="9">
        <v>1</v>
      </c>
      <c r="K2228" s="9">
        <v>140</v>
      </c>
      <c r="L2228" s="9">
        <v>2025</v>
      </c>
      <c r="M2228" s="8" t="s">
        <v>12718</v>
      </c>
      <c r="N2228" s="8" t="s">
        <v>42</v>
      </c>
      <c r="O2228" s="8" t="s">
        <v>246</v>
      </c>
      <c r="P2228" s="6" t="s">
        <v>44</v>
      </c>
      <c r="Q2228" s="8" t="s">
        <v>45</v>
      </c>
      <c r="R2228" s="10" t="s">
        <v>1036</v>
      </c>
      <c r="S2228" s="11"/>
      <c r="T2228" s="6"/>
      <c r="U2228" s="24" t="str">
        <f>HYPERLINK("https://media.infra-m.ru/2185/2185315/cover/2185315.jpg", "Обложка")</f>
        <v>Обложка</v>
      </c>
      <c r="V2228" s="24" t="str">
        <f>HYPERLINK("https://znanium.ru/catalog/product/1007996", "Ознакомиться")</f>
        <v>Ознакомиться</v>
      </c>
      <c r="W2228" s="8" t="s">
        <v>1362</v>
      </c>
      <c r="X2228" s="6"/>
      <c r="Y2228" s="6"/>
      <c r="Z2228" s="6"/>
      <c r="AA2228" s="6" t="s">
        <v>339</v>
      </c>
      <c r="AB2228" s="8"/>
    </row>
    <row r="2229" spans="1:28" s="4" customFormat="1" ht="42" customHeight="1">
      <c r="A2229" s="5">
        <v>0</v>
      </c>
      <c r="B2229" s="6" t="s">
        <v>12719</v>
      </c>
      <c r="C2229" s="13">
        <v>828</v>
      </c>
      <c r="D2229" s="8" t="s">
        <v>12720</v>
      </c>
      <c r="E2229" s="8" t="s">
        <v>12721</v>
      </c>
      <c r="F2229" s="8" t="s">
        <v>12722</v>
      </c>
      <c r="G2229" s="6" t="s">
        <v>38</v>
      </c>
      <c r="H2229" s="6" t="s">
        <v>39</v>
      </c>
      <c r="I2229" s="8" t="s">
        <v>40</v>
      </c>
      <c r="J2229" s="9">
        <v>1</v>
      </c>
      <c r="K2229" s="9">
        <v>159</v>
      </c>
      <c r="L2229" s="9">
        <v>2022</v>
      </c>
      <c r="M2229" s="8" t="s">
        <v>12723</v>
      </c>
      <c r="N2229" s="8" t="s">
        <v>42</v>
      </c>
      <c r="O2229" s="8" t="s">
        <v>65</v>
      </c>
      <c r="P2229" s="6" t="s">
        <v>44</v>
      </c>
      <c r="Q2229" s="8" t="s">
        <v>45</v>
      </c>
      <c r="R2229" s="10" t="s">
        <v>1873</v>
      </c>
      <c r="S2229" s="11"/>
      <c r="T2229" s="6"/>
      <c r="U2229" s="24" t="str">
        <f>HYPERLINK("https://media.infra-m.ru/1111/1111372/cover/1111372.jpg", "Обложка")</f>
        <v>Обложка</v>
      </c>
      <c r="V2229" s="24" t="str">
        <f>HYPERLINK("https://znanium.ru/catalog/product/1111372", "Ознакомиться")</f>
        <v>Ознакомиться</v>
      </c>
      <c r="W2229" s="8"/>
      <c r="X2229" s="6"/>
      <c r="Y2229" s="6"/>
      <c r="Z2229" s="6"/>
      <c r="AA2229" s="6" t="s">
        <v>111</v>
      </c>
      <c r="AB2229" s="8"/>
    </row>
    <row r="2230" spans="1:28" s="4" customFormat="1" ht="51.95" customHeight="1">
      <c r="A2230" s="5">
        <v>0</v>
      </c>
      <c r="B2230" s="6" t="s">
        <v>12724</v>
      </c>
      <c r="C2230" s="7">
        <v>1948.8</v>
      </c>
      <c r="D2230" s="8" t="s">
        <v>12725</v>
      </c>
      <c r="E2230" s="8" t="s">
        <v>12726</v>
      </c>
      <c r="F2230" s="8" t="s">
        <v>12727</v>
      </c>
      <c r="G2230" s="6" t="s">
        <v>81</v>
      </c>
      <c r="H2230" s="6" t="s">
        <v>39</v>
      </c>
      <c r="I2230" s="8" t="s">
        <v>336</v>
      </c>
      <c r="J2230" s="9">
        <v>1</v>
      </c>
      <c r="K2230" s="9">
        <v>296</v>
      </c>
      <c r="L2230" s="9">
        <v>2026</v>
      </c>
      <c r="M2230" s="8" t="s">
        <v>12728</v>
      </c>
      <c r="N2230" s="8" t="s">
        <v>42</v>
      </c>
      <c r="O2230" s="8" t="s">
        <v>101</v>
      </c>
      <c r="P2230" s="6" t="s">
        <v>44</v>
      </c>
      <c r="Q2230" s="8" t="s">
        <v>45</v>
      </c>
      <c r="R2230" s="10" t="s">
        <v>2280</v>
      </c>
      <c r="S2230" s="11"/>
      <c r="T2230" s="6"/>
      <c r="U2230" s="24" t="str">
        <f>HYPERLINK("https://media.infra-m.ru/2230/2230992/cover/2230992.jpg", "Обложка")</f>
        <v>Обложка</v>
      </c>
      <c r="V2230" s="24" t="str">
        <f>HYPERLINK("https://znanium.ru/catalog/product/2204439", "Ознакомиться")</f>
        <v>Ознакомиться</v>
      </c>
      <c r="W2230" s="8" t="s">
        <v>418</v>
      </c>
      <c r="X2230" s="6"/>
      <c r="Y2230" s="6"/>
      <c r="Z2230" s="6"/>
      <c r="AA2230" s="6" t="s">
        <v>58</v>
      </c>
      <c r="AB2230" s="8"/>
    </row>
    <row r="2231" spans="1:28" s="4" customFormat="1" ht="42" customHeight="1">
      <c r="A2231" s="5">
        <v>0</v>
      </c>
      <c r="B2231" s="6" t="s">
        <v>12729</v>
      </c>
      <c r="C2231" s="7">
        <v>1708.8</v>
      </c>
      <c r="D2231" s="8" t="s">
        <v>12730</v>
      </c>
      <c r="E2231" s="8" t="s">
        <v>12731</v>
      </c>
      <c r="F2231" s="8" t="s">
        <v>1949</v>
      </c>
      <c r="G2231" s="6" t="s">
        <v>81</v>
      </c>
      <c r="H2231" s="6" t="s">
        <v>39</v>
      </c>
      <c r="I2231" s="8" t="s">
        <v>40</v>
      </c>
      <c r="J2231" s="9">
        <v>1</v>
      </c>
      <c r="K2231" s="9">
        <v>315</v>
      </c>
      <c r="L2231" s="9">
        <v>2023</v>
      </c>
      <c r="M2231" s="8" t="s">
        <v>12732</v>
      </c>
      <c r="N2231" s="8" t="s">
        <v>42</v>
      </c>
      <c r="O2231" s="8" t="s">
        <v>101</v>
      </c>
      <c r="P2231" s="6" t="s">
        <v>44</v>
      </c>
      <c r="Q2231" s="8" t="s">
        <v>45</v>
      </c>
      <c r="R2231" s="10" t="s">
        <v>600</v>
      </c>
      <c r="S2231" s="11"/>
      <c r="T2231" s="6"/>
      <c r="U2231" s="24" t="str">
        <f>HYPERLINK("https://media.infra-m.ru/2006/2006063/cover/2006063.jpg", "Обложка")</f>
        <v>Обложка</v>
      </c>
      <c r="V2231" s="24" t="str">
        <f>HYPERLINK("https://znanium.ru/catalog/product/983164", "Ознакомиться")</f>
        <v>Ознакомиться</v>
      </c>
      <c r="W2231" s="8" t="s">
        <v>1457</v>
      </c>
      <c r="X2231" s="6"/>
      <c r="Y2231" s="6"/>
      <c r="Z2231" s="6"/>
      <c r="AA2231" s="6" t="s">
        <v>68</v>
      </c>
      <c r="AB2231" s="8"/>
    </row>
    <row r="2232" spans="1:28" s="4" customFormat="1" ht="51.95" customHeight="1">
      <c r="A2232" s="5">
        <v>0</v>
      </c>
      <c r="B2232" s="6" t="s">
        <v>12733</v>
      </c>
      <c r="C2232" s="7">
        <v>1188</v>
      </c>
      <c r="D2232" s="8" t="s">
        <v>12734</v>
      </c>
      <c r="E2232" s="8" t="s">
        <v>12735</v>
      </c>
      <c r="F2232" s="8" t="s">
        <v>12736</v>
      </c>
      <c r="G2232" s="6" t="s">
        <v>132</v>
      </c>
      <c r="H2232" s="6" t="s">
        <v>39</v>
      </c>
      <c r="I2232" s="8" t="s">
        <v>40</v>
      </c>
      <c r="J2232" s="9">
        <v>1</v>
      </c>
      <c r="K2232" s="9">
        <v>198</v>
      </c>
      <c r="L2232" s="9">
        <v>2024</v>
      </c>
      <c r="M2232" s="8" t="s">
        <v>12737</v>
      </c>
      <c r="N2232" s="8" t="s">
        <v>42</v>
      </c>
      <c r="O2232" s="8" t="s">
        <v>189</v>
      </c>
      <c r="P2232" s="6" t="s">
        <v>44</v>
      </c>
      <c r="Q2232" s="8" t="s">
        <v>45</v>
      </c>
      <c r="R2232" s="10" t="s">
        <v>12738</v>
      </c>
      <c r="S2232" s="11"/>
      <c r="T2232" s="6"/>
      <c r="U2232" s="24" t="str">
        <f>HYPERLINK("https://media.infra-m.ru/2124/2124803/cover/2124803.jpg", "Обложка")</f>
        <v>Обложка</v>
      </c>
      <c r="V2232" s="24" t="str">
        <f>HYPERLINK("https://znanium.ru/catalog/product/2124803", "Ознакомиться")</f>
        <v>Ознакомиться</v>
      </c>
      <c r="W2232" s="8" t="s">
        <v>2320</v>
      </c>
      <c r="X2232" s="6"/>
      <c r="Y2232" s="6"/>
      <c r="Z2232" s="6"/>
      <c r="AA2232" s="6" t="s">
        <v>58</v>
      </c>
      <c r="AB2232" s="8"/>
    </row>
    <row r="2233" spans="1:28" s="4" customFormat="1" ht="51.95" customHeight="1">
      <c r="A2233" s="5">
        <v>0</v>
      </c>
      <c r="B2233" s="6" t="s">
        <v>12739</v>
      </c>
      <c r="C2233" s="7">
        <v>1308</v>
      </c>
      <c r="D2233" s="8" t="s">
        <v>12740</v>
      </c>
      <c r="E2233" s="8" t="s">
        <v>12741</v>
      </c>
      <c r="F2233" s="8" t="s">
        <v>12742</v>
      </c>
      <c r="G2233" s="6" t="s">
        <v>38</v>
      </c>
      <c r="H2233" s="6" t="s">
        <v>39</v>
      </c>
      <c r="I2233" s="8" t="s">
        <v>40</v>
      </c>
      <c r="J2233" s="9">
        <v>1</v>
      </c>
      <c r="K2233" s="9">
        <v>210</v>
      </c>
      <c r="L2233" s="9">
        <v>2024</v>
      </c>
      <c r="M2233" s="8" t="s">
        <v>12743</v>
      </c>
      <c r="N2233" s="8" t="s">
        <v>284</v>
      </c>
      <c r="O2233" s="8" t="s">
        <v>1549</v>
      </c>
      <c r="P2233" s="6" t="s">
        <v>44</v>
      </c>
      <c r="Q2233" s="8" t="s">
        <v>45</v>
      </c>
      <c r="R2233" s="10" t="s">
        <v>12744</v>
      </c>
      <c r="S2233" s="11"/>
      <c r="T2233" s="6"/>
      <c r="U2233" s="24" t="str">
        <f>HYPERLINK("https://media.infra-m.ru/2048/2048102/cover/2048102.jpg", "Обложка")</f>
        <v>Обложка</v>
      </c>
      <c r="V2233" s="24" t="str">
        <f>HYPERLINK("https://znanium.ru/catalog/product/2048102", "Ознакомиться")</f>
        <v>Ознакомиться</v>
      </c>
      <c r="W2233" s="8" t="s">
        <v>289</v>
      </c>
      <c r="X2233" s="6"/>
      <c r="Y2233" s="6"/>
      <c r="Z2233" s="6"/>
      <c r="AA2233" s="6" t="s">
        <v>58</v>
      </c>
      <c r="AB2233" s="8"/>
    </row>
    <row r="2234" spans="1:28" s="4" customFormat="1" ht="42" customHeight="1">
      <c r="A2234" s="5">
        <v>0</v>
      </c>
      <c r="B2234" s="6" t="s">
        <v>12745</v>
      </c>
      <c r="C2234" s="13">
        <v>652.79999999999995</v>
      </c>
      <c r="D2234" s="8" t="s">
        <v>12746</v>
      </c>
      <c r="E2234" s="8" t="s">
        <v>12747</v>
      </c>
      <c r="F2234" s="8" t="s">
        <v>12748</v>
      </c>
      <c r="G2234" s="6" t="s">
        <v>38</v>
      </c>
      <c r="H2234" s="6" t="s">
        <v>39</v>
      </c>
      <c r="I2234" s="8" t="s">
        <v>344</v>
      </c>
      <c r="J2234" s="9">
        <v>1</v>
      </c>
      <c r="K2234" s="9">
        <v>119</v>
      </c>
      <c r="L2234" s="9">
        <v>2023</v>
      </c>
      <c r="M2234" s="8" t="s">
        <v>12749</v>
      </c>
      <c r="N2234" s="8" t="s">
        <v>54</v>
      </c>
      <c r="O2234" s="8" t="s">
        <v>91</v>
      </c>
      <c r="P2234" s="6" t="s">
        <v>44</v>
      </c>
      <c r="Q2234" s="8" t="s">
        <v>45</v>
      </c>
      <c r="R2234" s="10" t="s">
        <v>3174</v>
      </c>
      <c r="S2234" s="11"/>
      <c r="T2234" s="6"/>
      <c r="U2234" s="24" t="str">
        <f>HYPERLINK("https://media.infra-m.ru/2006/2006889/cover/2006889.jpg", "Обложка")</f>
        <v>Обложка</v>
      </c>
      <c r="V2234" s="12"/>
      <c r="W2234" s="8" t="s">
        <v>346</v>
      </c>
      <c r="X2234" s="6"/>
      <c r="Y2234" s="6"/>
      <c r="Z2234" s="6"/>
      <c r="AA2234" s="6" t="s">
        <v>68</v>
      </c>
      <c r="AB2234" s="8"/>
    </row>
    <row r="2235" spans="1:28" s="4" customFormat="1" ht="42" customHeight="1">
      <c r="A2235" s="5">
        <v>0</v>
      </c>
      <c r="B2235" s="6" t="s">
        <v>12750</v>
      </c>
      <c r="C2235" s="13">
        <v>900</v>
      </c>
      <c r="D2235" s="8" t="s">
        <v>12751</v>
      </c>
      <c r="E2235" s="8" t="s">
        <v>12752</v>
      </c>
      <c r="F2235" s="8" t="s">
        <v>7392</v>
      </c>
      <c r="G2235" s="6" t="s">
        <v>38</v>
      </c>
      <c r="H2235" s="6" t="s">
        <v>39</v>
      </c>
      <c r="I2235" s="8" t="s">
        <v>40</v>
      </c>
      <c r="J2235" s="9">
        <v>1</v>
      </c>
      <c r="K2235" s="9">
        <v>167</v>
      </c>
      <c r="L2235" s="9">
        <v>2022</v>
      </c>
      <c r="M2235" s="8" t="s">
        <v>12753</v>
      </c>
      <c r="N2235" s="8" t="s">
        <v>42</v>
      </c>
      <c r="O2235" s="8" t="s">
        <v>189</v>
      </c>
      <c r="P2235" s="6" t="s">
        <v>44</v>
      </c>
      <c r="Q2235" s="8" t="s">
        <v>45</v>
      </c>
      <c r="R2235" s="10" t="s">
        <v>12754</v>
      </c>
      <c r="S2235" s="11"/>
      <c r="T2235" s="6"/>
      <c r="U2235" s="24" t="str">
        <f>HYPERLINK("https://media.infra-m.ru/1836/1836240/cover/1836240.jpg", "Обложка")</f>
        <v>Обложка</v>
      </c>
      <c r="V2235" s="24" t="str">
        <f>HYPERLINK("https://znanium.ru/catalog/product/1836240", "Ознакомиться")</f>
        <v>Ознакомиться</v>
      </c>
      <c r="W2235" s="8" t="s">
        <v>7395</v>
      </c>
      <c r="X2235" s="6"/>
      <c r="Y2235" s="6"/>
      <c r="Z2235" s="6"/>
      <c r="AA2235" s="6" t="s">
        <v>111</v>
      </c>
      <c r="AB2235" s="8"/>
    </row>
    <row r="2236" spans="1:28" s="4" customFormat="1" ht="42" customHeight="1">
      <c r="A2236" s="5">
        <v>0</v>
      </c>
      <c r="B2236" s="6" t="s">
        <v>12755</v>
      </c>
      <c r="C2236" s="13">
        <v>948</v>
      </c>
      <c r="D2236" s="8" t="s">
        <v>12756</v>
      </c>
      <c r="E2236" s="8" t="s">
        <v>12757</v>
      </c>
      <c r="F2236" s="8" t="s">
        <v>12758</v>
      </c>
      <c r="G2236" s="6" t="s">
        <v>38</v>
      </c>
      <c r="H2236" s="6" t="s">
        <v>39</v>
      </c>
      <c r="I2236" s="8" t="s">
        <v>40</v>
      </c>
      <c r="J2236" s="9">
        <v>1</v>
      </c>
      <c r="K2236" s="9">
        <v>162</v>
      </c>
      <c r="L2236" s="9">
        <v>2024</v>
      </c>
      <c r="M2236" s="8" t="s">
        <v>12759</v>
      </c>
      <c r="N2236" s="8" t="s">
        <v>42</v>
      </c>
      <c r="O2236" s="8" t="s">
        <v>101</v>
      </c>
      <c r="P2236" s="6" t="s">
        <v>44</v>
      </c>
      <c r="Q2236" s="8" t="s">
        <v>45</v>
      </c>
      <c r="R2236" s="10" t="s">
        <v>12760</v>
      </c>
      <c r="S2236" s="11"/>
      <c r="T2236" s="6"/>
      <c r="U2236" s="24" t="str">
        <f>HYPERLINK("https://media.infra-m.ru/2124/2124799/cover/2124799.jpg", "Обложка")</f>
        <v>Обложка</v>
      </c>
      <c r="V2236" s="24" t="str">
        <f>HYPERLINK("https://znanium.ru/catalog/product/1361802", "Ознакомиться")</f>
        <v>Ознакомиться</v>
      </c>
      <c r="W2236" s="8" t="s">
        <v>391</v>
      </c>
      <c r="X2236" s="6"/>
      <c r="Y2236" s="6"/>
      <c r="Z2236" s="6"/>
      <c r="AA2236" s="6" t="s">
        <v>369</v>
      </c>
      <c r="AB2236" s="8"/>
    </row>
    <row r="2237" spans="1:28" s="4" customFormat="1" ht="42" customHeight="1">
      <c r="A2237" s="5">
        <v>0</v>
      </c>
      <c r="B2237" s="6" t="s">
        <v>12761</v>
      </c>
      <c r="C2237" s="13">
        <v>984</v>
      </c>
      <c r="D2237" s="8" t="s">
        <v>12762</v>
      </c>
      <c r="E2237" s="8" t="s">
        <v>12763</v>
      </c>
      <c r="F2237" s="8" t="s">
        <v>12764</v>
      </c>
      <c r="G2237" s="6" t="s">
        <v>132</v>
      </c>
      <c r="H2237" s="6" t="s">
        <v>39</v>
      </c>
      <c r="I2237" s="8" t="s">
        <v>40</v>
      </c>
      <c r="J2237" s="9">
        <v>1</v>
      </c>
      <c r="K2237" s="9">
        <v>164</v>
      </c>
      <c r="L2237" s="9">
        <v>2019</v>
      </c>
      <c r="M2237" s="8" t="s">
        <v>12765</v>
      </c>
      <c r="N2237" s="8" t="s">
        <v>284</v>
      </c>
      <c r="O2237" s="8" t="s">
        <v>285</v>
      </c>
      <c r="P2237" s="6" t="s">
        <v>44</v>
      </c>
      <c r="Q2237" s="8" t="s">
        <v>45</v>
      </c>
      <c r="R2237" s="10" t="s">
        <v>12766</v>
      </c>
      <c r="S2237" s="11"/>
      <c r="T2237" s="6"/>
      <c r="U2237" s="24" t="str">
        <f>HYPERLINK("https://media.infra-m.ru/0961/0961427/cover/961427.jpg", "Обложка")</f>
        <v>Обложка</v>
      </c>
      <c r="V2237" s="24" t="str">
        <f>HYPERLINK("https://znanium.ru/catalog/product/961427", "Ознакомиться")</f>
        <v>Ознакомиться</v>
      </c>
      <c r="W2237" s="8" t="s">
        <v>2320</v>
      </c>
      <c r="X2237" s="6"/>
      <c r="Y2237" s="6"/>
      <c r="Z2237" s="6"/>
      <c r="AA2237" s="6" t="s">
        <v>369</v>
      </c>
      <c r="AB2237" s="8"/>
    </row>
    <row r="2238" spans="1:28" s="4" customFormat="1" ht="51.95" customHeight="1">
      <c r="A2238" s="5">
        <v>0</v>
      </c>
      <c r="B2238" s="6" t="s">
        <v>12767</v>
      </c>
      <c r="C2238" s="7">
        <v>2200.8000000000002</v>
      </c>
      <c r="D2238" s="8" t="s">
        <v>12768</v>
      </c>
      <c r="E2238" s="8" t="s">
        <v>12769</v>
      </c>
      <c r="F2238" s="8" t="s">
        <v>12770</v>
      </c>
      <c r="G2238" s="6" t="s">
        <v>81</v>
      </c>
      <c r="H2238" s="6" t="s">
        <v>39</v>
      </c>
      <c r="I2238" s="8" t="s">
        <v>40</v>
      </c>
      <c r="J2238" s="9">
        <v>1</v>
      </c>
      <c r="K2238" s="9">
        <v>395</v>
      </c>
      <c r="L2238" s="9">
        <v>2024</v>
      </c>
      <c r="M2238" s="8" t="s">
        <v>12771</v>
      </c>
      <c r="N2238" s="8" t="s">
        <v>54</v>
      </c>
      <c r="O2238" s="8" t="s">
        <v>91</v>
      </c>
      <c r="P2238" s="6" t="s">
        <v>44</v>
      </c>
      <c r="Q2238" s="8" t="s">
        <v>45</v>
      </c>
      <c r="R2238" s="10" t="s">
        <v>12772</v>
      </c>
      <c r="S2238" s="11"/>
      <c r="T2238" s="6"/>
      <c r="U2238" s="24" t="str">
        <f>HYPERLINK("https://media.infra-m.ru/2126/2126855/cover/2126855.jpg", "Обложка")</f>
        <v>Обложка</v>
      </c>
      <c r="V2238" s="24" t="str">
        <f>HYPERLINK("https://znanium.ru/catalog/product/938069", "Ознакомиться")</f>
        <v>Ознакомиться</v>
      </c>
      <c r="W2238" s="8" t="s">
        <v>167</v>
      </c>
      <c r="X2238" s="6"/>
      <c r="Y2238" s="6"/>
      <c r="Z2238" s="6"/>
      <c r="AA2238" s="6" t="s">
        <v>377</v>
      </c>
      <c r="AB2238" s="8"/>
    </row>
    <row r="2239" spans="1:28" s="4" customFormat="1" ht="42" customHeight="1">
      <c r="A2239" s="5">
        <v>0</v>
      </c>
      <c r="B2239" s="6" t="s">
        <v>12773</v>
      </c>
      <c r="C2239" s="7">
        <v>1024.8</v>
      </c>
      <c r="D2239" s="8" t="s">
        <v>12774</v>
      </c>
      <c r="E2239" s="8" t="s">
        <v>12775</v>
      </c>
      <c r="F2239" s="8" t="s">
        <v>12776</v>
      </c>
      <c r="G2239" s="6" t="s">
        <v>132</v>
      </c>
      <c r="H2239" s="6" t="s">
        <v>39</v>
      </c>
      <c r="I2239" s="8" t="s">
        <v>344</v>
      </c>
      <c r="J2239" s="9">
        <v>1</v>
      </c>
      <c r="K2239" s="9">
        <v>181</v>
      </c>
      <c r="L2239" s="9">
        <v>2024</v>
      </c>
      <c r="M2239" s="8" t="s">
        <v>12777</v>
      </c>
      <c r="N2239" s="8" t="s">
        <v>220</v>
      </c>
      <c r="O2239" s="8" t="s">
        <v>252</v>
      </c>
      <c r="P2239" s="6" t="s">
        <v>44</v>
      </c>
      <c r="Q2239" s="8" t="s">
        <v>45</v>
      </c>
      <c r="R2239" s="10"/>
      <c r="S2239" s="11"/>
      <c r="T2239" s="6"/>
      <c r="U2239" s="24" t="str">
        <f>HYPERLINK("https://media.infra-m.ru/2136/2136030/cover/2136030.jpg", "Обложка")</f>
        <v>Обложка</v>
      </c>
      <c r="V2239" s="12"/>
      <c r="W2239" s="8" t="s">
        <v>346</v>
      </c>
      <c r="X2239" s="6"/>
      <c r="Y2239" s="6"/>
      <c r="Z2239" s="6"/>
      <c r="AA2239" s="6" t="s">
        <v>68</v>
      </c>
      <c r="AB2239" s="8"/>
    </row>
    <row r="2240" spans="1:28" s="4" customFormat="1" ht="51.95" customHeight="1">
      <c r="A2240" s="5">
        <v>0</v>
      </c>
      <c r="B2240" s="6" t="s">
        <v>12778</v>
      </c>
      <c r="C2240" s="7">
        <v>1445.9</v>
      </c>
      <c r="D2240" s="8" t="s">
        <v>12779</v>
      </c>
      <c r="E2240" s="8" t="s">
        <v>12780</v>
      </c>
      <c r="F2240" s="8" t="s">
        <v>12781</v>
      </c>
      <c r="G2240" s="6" t="s">
        <v>132</v>
      </c>
      <c r="H2240" s="6" t="s">
        <v>39</v>
      </c>
      <c r="I2240" s="8" t="s">
        <v>40</v>
      </c>
      <c r="J2240" s="9">
        <v>1</v>
      </c>
      <c r="K2240" s="9">
        <v>325</v>
      </c>
      <c r="L2240" s="9">
        <v>2021</v>
      </c>
      <c r="M2240" s="8" t="s">
        <v>12782</v>
      </c>
      <c r="N2240" s="8" t="s">
        <v>42</v>
      </c>
      <c r="O2240" s="8" t="s">
        <v>101</v>
      </c>
      <c r="P2240" s="6" t="s">
        <v>44</v>
      </c>
      <c r="Q2240" s="8" t="s">
        <v>45</v>
      </c>
      <c r="R2240" s="10" t="s">
        <v>680</v>
      </c>
      <c r="S2240" s="11"/>
      <c r="T2240" s="6"/>
      <c r="U2240" s="24" t="str">
        <f>HYPERLINK("https://media.infra-m.ru/1209/1209787/cover/1209787.jpg", "Обложка")</f>
        <v>Обложка</v>
      </c>
      <c r="V2240" s="24" t="str">
        <f>HYPERLINK("https://znanium.ru/catalog/product/1209787", "Ознакомиться")</f>
        <v>Ознакомиться</v>
      </c>
      <c r="W2240" s="8" t="s">
        <v>1529</v>
      </c>
      <c r="X2240" s="6"/>
      <c r="Y2240" s="6"/>
      <c r="Z2240" s="6"/>
      <c r="AA2240" s="6" t="s">
        <v>68</v>
      </c>
      <c r="AB2240" s="8"/>
    </row>
    <row r="2241" spans="1:28" s="4" customFormat="1" ht="42" customHeight="1">
      <c r="A2241" s="5">
        <v>0</v>
      </c>
      <c r="B2241" s="6" t="s">
        <v>12783</v>
      </c>
      <c r="C2241" s="7">
        <v>1164</v>
      </c>
      <c r="D2241" s="8" t="s">
        <v>12784</v>
      </c>
      <c r="E2241" s="8" t="s">
        <v>12785</v>
      </c>
      <c r="F2241" s="8" t="s">
        <v>12786</v>
      </c>
      <c r="G2241" s="6" t="s">
        <v>38</v>
      </c>
      <c r="H2241" s="6" t="s">
        <v>39</v>
      </c>
      <c r="I2241" s="8" t="s">
        <v>40</v>
      </c>
      <c r="J2241" s="9">
        <v>1</v>
      </c>
      <c r="K2241" s="9">
        <v>179</v>
      </c>
      <c r="L2241" s="9">
        <v>2025</v>
      </c>
      <c r="M2241" s="8" t="s">
        <v>12787</v>
      </c>
      <c r="N2241" s="8" t="s">
        <v>284</v>
      </c>
      <c r="O2241" s="8" t="s">
        <v>285</v>
      </c>
      <c r="P2241" s="6" t="s">
        <v>44</v>
      </c>
      <c r="Q2241" s="8" t="s">
        <v>45</v>
      </c>
      <c r="R2241" s="10" t="s">
        <v>12788</v>
      </c>
      <c r="S2241" s="11"/>
      <c r="T2241" s="6"/>
      <c r="U2241" s="24" t="str">
        <f>HYPERLINK("https://media.infra-m.ru/2157/2157609/cover/2157609.jpg", "Обложка")</f>
        <v>Обложка</v>
      </c>
      <c r="V2241" s="24" t="str">
        <f>HYPERLINK("https://znanium.ru/catalog/product/2157609", "Ознакомиться")</f>
        <v>Ознакомиться</v>
      </c>
      <c r="W2241" s="8" t="s">
        <v>5628</v>
      </c>
      <c r="X2241" s="6" t="s">
        <v>320</v>
      </c>
      <c r="Y2241" s="6"/>
      <c r="Z2241" s="6"/>
      <c r="AA2241" s="6" t="s">
        <v>321</v>
      </c>
      <c r="AB2241" s="8"/>
    </row>
    <row r="2242" spans="1:28" s="4" customFormat="1" ht="42" customHeight="1">
      <c r="A2242" s="5">
        <v>0</v>
      </c>
      <c r="B2242" s="6" t="s">
        <v>12789</v>
      </c>
      <c r="C2242" s="13">
        <v>972</v>
      </c>
      <c r="D2242" s="8" t="s">
        <v>12790</v>
      </c>
      <c r="E2242" s="8" t="s">
        <v>12791</v>
      </c>
      <c r="F2242" s="8" t="s">
        <v>12792</v>
      </c>
      <c r="G2242" s="6" t="s">
        <v>38</v>
      </c>
      <c r="H2242" s="6" t="s">
        <v>39</v>
      </c>
      <c r="I2242" s="8" t="s">
        <v>40</v>
      </c>
      <c r="J2242" s="9">
        <v>1</v>
      </c>
      <c r="K2242" s="9">
        <v>163</v>
      </c>
      <c r="L2242" s="9">
        <v>2024</v>
      </c>
      <c r="M2242" s="8" t="s">
        <v>12793</v>
      </c>
      <c r="N2242" s="8" t="s">
        <v>284</v>
      </c>
      <c r="O2242" s="8" t="s">
        <v>285</v>
      </c>
      <c r="P2242" s="6" t="s">
        <v>44</v>
      </c>
      <c r="Q2242" s="8" t="s">
        <v>45</v>
      </c>
      <c r="R2242" s="10" t="s">
        <v>12788</v>
      </c>
      <c r="S2242" s="11"/>
      <c r="T2242" s="6"/>
      <c r="U2242" s="24" t="str">
        <f>HYPERLINK("https://media.infra-m.ru/2127/2127836/cover/2127836.jpg", "Обложка")</f>
        <v>Обложка</v>
      </c>
      <c r="V2242" s="24" t="str">
        <f>HYPERLINK("https://znanium.ru/catalog/product/2157609", "Ознакомиться")</f>
        <v>Ознакомиться</v>
      </c>
      <c r="W2242" s="8" t="s">
        <v>5628</v>
      </c>
      <c r="X2242" s="6"/>
      <c r="Y2242" s="6"/>
      <c r="Z2242" s="6"/>
      <c r="AA2242" s="6" t="s">
        <v>369</v>
      </c>
      <c r="AB2242" s="8"/>
    </row>
    <row r="2243" spans="1:28" s="4" customFormat="1" ht="51.95" customHeight="1">
      <c r="A2243" s="5">
        <v>0</v>
      </c>
      <c r="B2243" s="6" t="s">
        <v>12794</v>
      </c>
      <c r="C2243" s="7">
        <v>1572</v>
      </c>
      <c r="D2243" s="8" t="s">
        <v>12795</v>
      </c>
      <c r="E2243" s="8" t="s">
        <v>12796</v>
      </c>
      <c r="F2243" s="8" t="s">
        <v>12797</v>
      </c>
      <c r="G2243" s="6" t="s">
        <v>81</v>
      </c>
      <c r="H2243" s="6" t="s">
        <v>39</v>
      </c>
      <c r="I2243" s="8" t="s">
        <v>40</v>
      </c>
      <c r="J2243" s="9">
        <v>1</v>
      </c>
      <c r="K2243" s="9">
        <v>238</v>
      </c>
      <c r="L2243" s="9">
        <v>2026</v>
      </c>
      <c r="M2243" s="8" t="s">
        <v>12798</v>
      </c>
      <c r="N2243" s="8" t="s">
        <v>42</v>
      </c>
      <c r="O2243" s="8" t="s">
        <v>246</v>
      </c>
      <c r="P2243" s="6" t="s">
        <v>44</v>
      </c>
      <c r="Q2243" s="8" t="s">
        <v>45</v>
      </c>
      <c r="R2243" s="10" t="s">
        <v>12799</v>
      </c>
      <c r="S2243" s="11"/>
      <c r="T2243" s="6"/>
      <c r="U2243" s="24" t="str">
        <f>HYPERLINK("https://media.infra-m.ru/2227/2227491/cover/2227491.jpg", "Обложка")</f>
        <v>Обложка</v>
      </c>
      <c r="V2243" s="24" t="str">
        <f>HYPERLINK("https://znanium.ru/catalog/product/2227491", "Ознакомиться")</f>
        <v>Ознакомиться</v>
      </c>
      <c r="W2243" s="8" t="s">
        <v>207</v>
      </c>
      <c r="X2243" s="6"/>
      <c r="Y2243" s="6"/>
      <c r="Z2243" s="6"/>
      <c r="AA2243" s="6" t="s">
        <v>369</v>
      </c>
      <c r="AB2243" s="8"/>
    </row>
    <row r="2244" spans="1:28" s="4" customFormat="1" ht="42" customHeight="1">
      <c r="A2244" s="5">
        <v>0</v>
      </c>
      <c r="B2244" s="6" t="s">
        <v>12800</v>
      </c>
      <c r="C2244" s="13">
        <v>840</v>
      </c>
      <c r="D2244" s="8" t="s">
        <v>12801</v>
      </c>
      <c r="E2244" s="8" t="s">
        <v>12802</v>
      </c>
      <c r="F2244" s="8" t="s">
        <v>697</v>
      </c>
      <c r="G2244" s="6" t="s">
        <v>38</v>
      </c>
      <c r="H2244" s="6" t="s">
        <v>39</v>
      </c>
      <c r="I2244" s="8" t="s">
        <v>40</v>
      </c>
      <c r="J2244" s="9">
        <v>1</v>
      </c>
      <c r="K2244" s="9">
        <v>180</v>
      </c>
      <c r="L2244" s="9">
        <v>2021</v>
      </c>
      <c r="M2244" s="8" t="s">
        <v>12803</v>
      </c>
      <c r="N2244" s="8" t="s">
        <v>54</v>
      </c>
      <c r="O2244" s="8" t="s">
        <v>91</v>
      </c>
      <c r="P2244" s="6" t="s">
        <v>44</v>
      </c>
      <c r="Q2244" s="8" t="s">
        <v>45</v>
      </c>
      <c r="R2244" s="10" t="s">
        <v>197</v>
      </c>
      <c r="S2244" s="11"/>
      <c r="T2244" s="6"/>
      <c r="U2244" s="24" t="str">
        <f>HYPERLINK("https://media.infra-m.ru/1074/1074108/cover/1074108.jpg", "Обложка")</f>
        <v>Обложка</v>
      </c>
      <c r="V2244" s="24" t="str">
        <f>HYPERLINK("https://znanium.ru/catalog/product/1074108", "Ознакомиться")</f>
        <v>Ознакомиться</v>
      </c>
      <c r="W2244" s="8" t="s">
        <v>699</v>
      </c>
      <c r="X2244" s="6"/>
      <c r="Y2244" s="6"/>
      <c r="Z2244" s="6"/>
      <c r="AA2244" s="6" t="s">
        <v>199</v>
      </c>
      <c r="AB2244" s="8"/>
    </row>
    <row r="2245" spans="1:28" s="4" customFormat="1" ht="51.95" customHeight="1">
      <c r="A2245" s="5">
        <v>0</v>
      </c>
      <c r="B2245" s="6" t="s">
        <v>12804</v>
      </c>
      <c r="C2245" s="7">
        <v>1301.9000000000001</v>
      </c>
      <c r="D2245" s="8" t="s">
        <v>12805</v>
      </c>
      <c r="E2245" s="8" t="s">
        <v>12806</v>
      </c>
      <c r="F2245" s="8" t="s">
        <v>12807</v>
      </c>
      <c r="G2245" s="6" t="s">
        <v>38</v>
      </c>
      <c r="H2245" s="6" t="s">
        <v>1019</v>
      </c>
      <c r="I2245" s="8" t="s">
        <v>1020</v>
      </c>
      <c r="J2245" s="9">
        <v>1</v>
      </c>
      <c r="K2245" s="9">
        <v>278</v>
      </c>
      <c r="L2245" s="9">
        <v>2022</v>
      </c>
      <c r="M2245" s="8" t="s">
        <v>12808</v>
      </c>
      <c r="N2245" s="8" t="s">
        <v>284</v>
      </c>
      <c r="O2245" s="8" t="s">
        <v>383</v>
      </c>
      <c r="P2245" s="6" t="s">
        <v>44</v>
      </c>
      <c r="Q2245" s="8" t="s">
        <v>45</v>
      </c>
      <c r="R2245" s="10" t="s">
        <v>12809</v>
      </c>
      <c r="S2245" s="11"/>
      <c r="T2245" s="6"/>
      <c r="U2245" s="24" t="str">
        <f>HYPERLINK("https://media.infra-m.ru/1817/1817314/cover/1817314.jpg", "Обложка")</f>
        <v>Обложка</v>
      </c>
      <c r="V2245" s="24" t="str">
        <f>HYPERLINK("https://znanium.ru/catalog/product/1817314", "Ознакомиться")</f>
        <v>Ознакомиться</v>
      </c>
      <c r="W2245" s="8" t="s">
        <v>1882</v>
      </c>
      <c r="X2245" s="6"/>
      <c r="Y2245" s="6"/>
      <c r="Z2245" s="6"/>
      <c r="AA2245" s="6" t="s">
        <v>290</v>
      </c>
      <c r="AB2245" s="8"/>
    </row>
    <row r="2246" spans="1:28" s="4" customFormat="1" ht="51.95" customHeight="1">
      <c r="A2246" s="5">
        <v>0</v>
      </c>
      <c r="B2246" s="6" t="s">
        <v>12810</v>
      </c>
      <c r="C2246" s="7">
        <v>3172.8</v>
      </c>
      <c r="D2246" s="8" t="s">
        <v>12811</v>
      </c>
      <c r="E2246" s="8" t="s">
        <v>12812</v>
      </c>
      <c r="F2246" s="8" t="s">
        <v>12813</v>
      </c>
      <c r="G2246" s="6" t="s">
        <v>81</v>
      </c>
      <c r="H2246" s="6" t="s">
        <v>99</v>
      </c>
      <c r="I2246" s="8"/>
      <c r="J2246" s="9">
        <v>1</v>
      </c>
      <c r="K2246" s="9">
        <v>640</v>
      </c>
      <c r="L2246" s="9">
        <v>2026</v>
      </c>
      <c r="M2246" s="8" t="s">
        <v>12814</v>
      </c>
      <c r="N2246" s="8" t="s">
        <v>42</v>
      </c>
      <c r="O2246" s="8" t="s">
        <v>101</v>
      </c>
      <c r="P2246" s="6" t="s">
        <v>415</v>
      </c>
      <c r="Q2246" s="8" t="s">
        <v>416</v>
      </c>
      <c r="R2246" s="10" t="s">
        <v>12815</v>
      </c>
      <c r="S2246" s="11" t="s">
        <v>12816</v>
      </c>
      <c r="T2246" s="6"/>
      <c r="U2246" s="24" t="str">
        <f>HYPERLINK("https://media.infra-m.ru/2218/2218221/cover/2218221.jpg", "Обложка")</f>
        <v>Обложка</v>
      </c>
      <c r="V2246" s="24" t="str">
        <f>HYPERLINK("https://znanium.ru/catalog/product/1817818", "Ознакомиться")</f>
        <v>Ознакомиться</v>
      </c>
      <c r="W2246" s="8" t="s">
        <v>3675</v>
      </c>
      <c r="X2246" s="6"/>
      <c r="Y2246" s="6"/>
      <c r="Z2246" s="6"/>
      <c r="AA2246" s="6" t="s">
        <v>12817</v>
      </c>
      <c r="AB2246" s="8"/>
    </row>
    <row r="2247" spans="1:28" s="4" customFormat="1" ht="51.95" customHeight="1">
      <c r="A2247" s="5">
        <v>0</v>
      </c>
      <c r="B2247" s="6" t="s">
        <v>12818</v>
      </c>
      <c r="C2247" s="7">
        <v>1780.8</v>
      </c>
      <c r="D2247" s="8" t="s">
        <v>12819</v>
      </c>
      <c r="E2247" s="8" t="s">
        <v>12820</v>
      </c>
      <c r="F2247" s="8" t="s">
        <v>12821</v>
      </c>
      <c r="G2247" s="6" t="s">
        <v>81</v>
      </c>
      <c r="H2247" s="6" t="s">
        <v>39</v>
      </c>
      <c r="I2247" s="8" t="s">
        <v>40</v>
      </c>
      <c r="J2247" s="9">
        <v>1</v>
      </c>
      <c r="K2247" s="9">
        <v>317</v>
      </c>
      <c r="L2247" s="9">
        <v>2025</v>
      </c>
      <c r="M2247" s="8" t="s">
        <v>12822</v>
      </c>
      <c r="N2247" s="8" t="s">
        <v>42</v>
      </c>
      <c r="O2247" s="8" t="s">
        <v>246</v>
      </c>
      <c r="P2247" s="6" t="s">
        <v>44</v>
      </c>
      <c r="Q2247" s="8" t="s">
        <v>45</v>
      </c>
      <c r="R2247" s="10" t="s">
        <v>12823</v>
      </c>
      <c r="S2247" s="11"/>
      <c r="T2247" s="6"/>
      <c r="U2247" s="24" t="str">
        <f>HYPERLINK("https://media.infra-m.ru/2157/2157820/cover/2157820.jpg", "Обложка")</f>
        <v>Обложка</v>
      </c>
      <c r="V2247" s="24" t="str">
        <f>HYPERLINK("https://znanium.ru/catalog/product/1844426", "Ознакомиться")</f>
        <v>Ознакомиться</v>
      </c>
      <c r="W2247" s="8" t="s">
        <v>2879</v>
      </c>
      <c r="X2247" s="6"/>
      <c r="Y2247" s="6"/>
      <c r="Z2247" s="6"/>
      <c r="AA2247" s="6" t="s">
        <v>369</v>
      </c>
      <c r="AB2247" s="8"/>
    </row>
    <row r="2248" spans="1:28" s="4" customFormat="1" ht="44.1" customHeight="1">
      <c r="A2248" s="5">
        <v>0</v>
      </c>
      <c r="B2248" s="6" t="s">
        <v>12824</v>
      </c>
      <c r="C2248" s="13">
        <v>977.9</v>
      </c>
      <c r="D2248" s="8" t="s">
        <v>12825</v>
      </c>
      <c r="E2248" s="8" t="s">
        <v>12826</v>
      </c>
      <c r="F2248" s="8" t="s">
        <v>12827</v>
      </c>
      <c r="G2248" s="6" t="s">
        <v>38</v>
      </c>
      <c r="H2248" s="6" t="s">
        <v>39</v>
      </c>
      <c r="I2248" s="8" t="s">
        <v>40</v>
      </c>
      <c r="J2248" s="9">
        <v>1</v>
      </c>
      <c r="K2248" s="9">
        <v>208</v>
      </c>
      <c r="L2248" s="9">
        <v>2022</v>
      </c>
      <c r="M2248" s="8" t="s">
        <v>12828</v>
      </c>
      <c r="N2248" s="8" t="s">
        <v>42</v>
      </c>
      <c r="O2248" s="8" t="s">
        <v>246</v>
      </c>
      <c r="P2248" s="6" t="s">
        <v>44</v>
      </c>
      <c r="Q2248" s="8" t="s">
        <v>45</v>
      </c>
      <c r="R2248" s="10" t="s">
        <v>12829</v>
      </c>
      <c r="S2248" s="11"/>
      <c r="T2248" s="6"/>
      <c r="U2248" s="24" t="str">
        <f>HYPERLINK("https://media.infra-m.ru/1853/1853826/cover/1853826.jpg", "Обложка")</f>
        <v>Обложка</v>
      </c>
      <c r="V2248" s="24" t="str">
        <f>HYPERLINK("https://znanium.ru/catalog/product/1843231", "Ознакомиться")</f>
        <v>Ознакомиться</v>
      </c>
      <c r="W2248" s="8" t="s">
        <v>207</v>
      </c>
      <c r="X2248" s="6"/>
      <c r="Y2248" s="6"/>
      <c r="Z2248" s="6"/>
      <c r="AA2248" s="6" t="s">
        <v>290</v>
      </c>
      <c r="AB2248" s="8"/>
    </row>
    <row r="2249" spans="1:28" s="4" customFormat="1" ht="51.95" customHeight="1">
      <c r="A2249" s="5">
        <v>0</v>
      </c>
      <c r="B2249" s="6" t="s">
        <v>12830</v>
      </c>
      <c r="C2249" s="7">
        <v>1781.9</v>
      </c>
      <c r="D2249" s="8" t="s">
        <v>12831</v>
      </c>
      <c r="E2249" s="8" t="s">
        <v>12832</v>
      </c>
      <c r="F2249" s="8" t="s">
        <v>12833</v>
      </c>
      <c r="G2249" s="6" t="s">
        <v>38</v>
      </c>
      <c r="H2249" s="6" t="s">
        <v>39</v>
      </c>
      <c r="I2249" s="8" t="s">
        <v>40</v>
      </c>
      <c r="J2249" s="9">
        <v>1</v>
      </c>
      <c r="K2249" s="9">
        <v>329</v>
      </c>
      <c r="L2249" s="9">
        <v>2023</v>
      </c>
      <c r="M2249" s="8" t="s">
        <v>12834</v>
      </c>
      <c r="N2249" s="8" t="s">
        <v>42</v>
      </c>
      <c r="O2249" s="8" t="s">
        <v>246</v>
      </c>
      <c r="P2249" s="6" t="s">
        <v>44</v>
      </c>
      <c r="Q2249" s="8" t="s">
        <v>45</v>
      </c>
      <c r="R2249" s="10" t="s">
        <v>12835</v>
      </c>
      <c r="S2249" s="11"/>
      <c r="T2249" s="6"/>
      <c r="U2249" s="24" t="str">
        <f>HYPERLINK("https://media.infra-m.ru/1981/1981655/cover/1981655.jpg", "Обложка")</f>
        <v>Обложка</v>
      </c>
      <c r="V2249" s="24" t="str">
        <f>HYPERLINK("https://znanium.ru/catalog/product/960055", "Ознакомиться")</f>
        <v>Ознакомиться</v>
      </c>
      <c r="W2249" s="8" t="s">
        <v>1049</v>
      </c>
      <c r="X2249" s="6"/>
      <c r="Y2249" s="6"/>
      <c r="Z2249" s="6"/>
      <c r="AA2249" s="6" t="s">
        <v>127</v>
      </c>
      <c r="AB2249" s="8"/>
    </row>
    <row r="2250" spans="1:28" s="4" customFormat="1" ht="51.95" customHeight="1">
      <c r="A2250" s="5">
        <v>0</v>
      </c>
      <c r="B2250" s="6" t="s">
        <v>12836</v>
      </c>
      <c r="C2250" s="7">
        <v>1680</v>
      </c>
      <c r="D2250" s="8" t="s">
        <v>12837</v>
      </c>
      <c r="E2250" s="8" t="s">
        <v>12838</v>
      </c>
      <c r="F2250" s="8" t="s">
        <v>12839</v>
      </c>
      <c r="G2250" s="6" t="s">
        <v>81</v>
      </c>
      <c r="H2250" s="6" t="s">
        <v>39</v>
      </c>
      <c r="I2250" s="8" t="s">
        <v>40</v>
      </c>
      <c r="J2250" s="9">
        <v>1</v>
      </c>
      <c r="K2250" s="9">
        <v>360</v>
      </c>
      <c r="L2250" s="9">
        <v>2022</v>
      </c>
      <c r="M2250" s="8" t="s">
        <v>12840</v>
      </c>
      <c r="N2250" s="8" t="s">
        <v>42</v>
      </c>
      <c r="O2250" s="8" t="s">
        <v>246</v>
      </c>
      <c r="P2250" s="6" t="s">
        <v>44</v>
      </c>
      <c r="Q2250" s="8" t="s">
        <v>45</v>
      </c>
      <c r="R2250" s="10" t="s">
        <v>12841</v>
      </c>
      <c r="S2250" s="11"/>
      <c r="T2250" s="6"/>
      <c r="U2250" s="24" t="str">
        <f>HYPERLINK("https://media.infra-m.ru/1870/1870637/cover/1870637.jpg", "Обложка")</f>
        <v>Обложка</v>
      </c>
      <c r="V2250" s="24" t="str">
        <f>HYPERLINK("https://znanium.ru/catalog/product/1870637", "Ознакомиться")</f>
        <v>Ознакомиться</v>
      </c>
      <c r="W2250" s="8" t="s">
        <v>207</v>
      </c>
      <c r="X2250" s="6"/>
      <c r="Y2250" s="6"/>
      <c r="Z2250" s="6"/>
      <c r="AA2250" s="6" t="s">
        <v>339</v>
      </c>
      <c r="AB2250" s="8"/>
    </row>
    <row r="2251" spans="1:28" s="4" customFormat="1" ht="51.95" customHeight="1">
      <c r="A2251" s="5">
        <v>0</v>
      </c>
      <c r="B2251" s="6" t="s">
        <v>12842</v>
      </c>
      <c r="C2251" s="7">
        <v>1668</v>
      </c>
      <c r="D2251" s="8" t="s">
        <v>12843</v>
      </c>
      <c r="E2251" s="8" t="s">
        <v>12844</v>
      </c>
      <c r="F2251" s="8" t="s">
        <v>11308</v>
      </c>
      <c r="G2251" s="6" t="s">
        <v>81</v>
      </c>
      <c r="H2251" s="6" t="s">
        <v>39</v>
      </c>
      <c r="I2251" s="8" t="s">
        <v>40</v>
      </c>
      <c r="J2251" s="9">
        <v>1</v>
      </c>
      <c r="K2251" s="9">
        <v>308</v>
      </c>
      <c r="L2251" s="9">
        <v>2022</v>
      </c>
      <c r="M2251" s="8" t="s">
        <v>12845</v>
      </c>
      <c r="N2251" s="8" t="s">
        <v>42</v>
      </c>
      <c r="O2251" s="8" t="s">
        <v>189</v>
      </c>
      <c r="P2251" s="6" t="s">
        <v>44</v>
      </c>
      <c r="Q2251" s="8" t="s">
        <v>45</v>
      </c>
      <c r="R2251" s="10" t="s">
        <v>12846</v>
      </c>
      <c r="S2251" s="11"/>
      <c r="T2251" s="6" t="s">
        <v>1080</v>
      </c>
      <c r="U2251" s="24" t="str">
        <f>HYPERLINK("https://media.infra-m.ru/1856/1856005/cover/1856005.jpg", "Обложка")</f>
        <v>Обложка</v>
      </c>
      <c r="V2251" s="24" t="str">
        <f>HYPERLINK("https://znanium.ru/catalog/product/1856005", "Ознакомиться")</f>
        <v>Ознакомиться</v>
      </c>
      <c r="W2251" s="8" t="s">
        <v>418</v>
      </c>
      <c r="X2251" s="6"/>
      <c r="Y2251" s="6"/>
      <c r="Z2251" s="6"/>
      <c r="AA2251" s="6" t="s">
        <v>339</v>
      </c>
      <c r="AB2251" s="8"/>
    </row>
    <row r="2252" spans="1:28" s="4" customFormat="1" ht="44.1" customHeight="1">
      <c r="A2252" s="5">
        <v>0</v>
      </c>
      <c r="B2252" s="6" t="s">
        <v>12847</v>
      </c>
      <c r="C2252" s="7">
        <v>1588.8</v>
      </c>
      <c r="D2252" s="8" t="s">
        <v>12848</v>
      </c>
      <c r="E2252" s="8" t="s">
        <v>12849</v>
      </c>
      <c r="F2252" s="8" t="s">
        <v>12850</v>
      </c>
      <c r="G2252" s="6" t="s">
        <v>38</v>
      </c>
      <c r="H2252" s="6" t="s">
        <v>39</v>
      </c>
      <c r="I2252" s="8" t="s">
        <v>40</v>
      </c>
      <c r="J2252" s="9">
        <v>1</v>
      </c>
      <c r="K2252" s="9">
        <v>287</v>
      </c>
      <c r="L2252" s="9">
        <v>2024</v>
      </c>
      <c r="M2252" s="8" t="s">
        <v>12851</v>
      </c>
      <c r="N2252" s="8" t="s">
        <v>42</v>
      </c>
      <c r="O2252" s="8" t="s">
        <v>189</v>
      </c>
      <c r="P2252" s="6" t="s">
        <v>44</v>
      </c>
      <c r="Q2252" s="8" t="s">
        <v>45</v>
      </c>
      <c r="R2252" s="10" t="s">
        <v>1036</v>
      </c>
      <c r="S2252" s="11"/>
      <c r="T2252" s="6"/>
      <c r="U2252" s="24" t="str">
        <f>HYPERLINK("https://media.infra-m.ru/2079/2079330/cover/2079330.jpg", "Обложка")</f>
        <v>Обложка</v>
      </c>
      <c r="V2252" s="24" t="str">
        <f>HYPERLINK("https://znanium.ru/catalog/product/2079330", "Ознакомиться")</f>
        <v>Ознакомиться</v>
      </c>
      <c r="W2252" s="8" t="s">
        <v>12852</v>
      </c>
      <c r="X2252" s="6"/>
      <c r="Y2252" s="6"/>
      <c r="Z2252" s="6"/>
      <c r="AA2252" s="6" t="s">
        <v>1154</v>
      </c>
      <c r="AB2252" s="8"/>
    </row>
    <row r="2253" spans="1:28" s="4" customFormat="1" ht="51.95" customHeight="1">
      <c r="A2253" s="5">
        <v>0</v>
      </c>
      <c r="B2253" s="6" t="s">
        <v>12853</v>
      </c>
      <c r="C2253" s="7">
        <v>1864.8</v>
      </c>
      <c r="D2253" s="8" t="s">
        <v>12854</v>
      </c>
      <c r="E2253" s="8" t="s">
        <v>12855</v>
      </c>
      <c r="F2253" s="8" t="s">
        <v>12856</v>
      </c>
      <c r="G2253" s="6" t="s">
        <v>132</v>
      </c>
      <c r="H2253" s="6" t="s">
        <v>39</v>
      </c>
      <c r="I2253" s="8" t="s">
        <v>40</v>
      </c>
      <c r="J2253" s="9">
        <v>1</v>
      </c>
      <c r="K2253" s="9">
        <v>339</v>
      </c>
      <c r="L2253" s="9">
        <v>2024</v>
      </c>
      <c r="M2253" s="8" t="s">
        <v>12857</v>
      </c>
      <c r="N2253" s="8" t="s">
        <v>42</v>
      </c>
      <c r="O2253" s="8" t="s">
        <v>189</v>
      </c>
      <c r="P2253" s="6" t="s">
        <v>44</v>
      </c>
      <c r="Q2253" s="8" t="s">
        <v>45</v>
      </c>
      <c r="R2253" s="10" t="s">
        <v>12858</v>
      </c>
      <c r="S2253" s="11"/>
      <c r="T2253" s="6"/>
      <c r="U2253" s="24" t="str">
        <f>HYPERLINK("https://media.infra-m.ru/2102/2102710/cover/2102710.jpg", "Обложка")</f>
        <v>Обложка</v>
      </c>
      <c r="V2253" s="24" t="str">
        <f>HYPERLINK("https://znanium.ru/catalog/product/925863", "Ознакомиться")</f>
        <v>Ознакомиться</v>
      </c>
      <c r="W2253" s="8" t="s">
        <v>2080</v>
      </c>
      <c r="X2253" s="6"/>
      <c r="Y2253" s="6"/>
      <c r="Z2253" s="6"/>
      <c r="AA2253" s="6" t="s">
        <v>339</v>
      </c>
      <c r="AB2253" s="8"/>
    </row>
    <row r="2254" spans="1:28" s="4" customFormat="1" ht="44.1" customHeight="1">
      <c r="A2254" s="5">
        <v>0</v>
      </c>
      <c r="B2254" s="6" t="s">
        <v>12859</v>
      </c>
      <c r="C2254" s="13">
        <v>772.8</v>
      </c>
      <c r="D2254" s="8" t="s">
        <v>12860</v>
      </c>
      <c r="E2254" s="8" t="s">
        <v>12861</v>
      </c>
      <c r="F2254" s="8" t="s">
        <v>12862</v>
      </c>
      <c r="G2254" s="6" t="s">
        <v>38</v>
      </c>
      <c r="H2254" s="6" t="s">
        <v>1019</v>
      </c>
      <c r="I2254" s="8" t="s">
        <v>1020</v>
      </c>
      <c r="J2254" s="9">
        <v>1</v>
      </c>
      <c r="K2254" s="9">
        <v>142</v>
      </c>
      <c r="L2254" s="9">
        <v>2023</v>
      </c>
      <c r="M2254" s="8" t="s">
        <v>12863</v>
      </c>
      <c r="N2254" s="8" t="s">
        <v>284</v>
      </c>
      <c r="O2254" s="8" t="s">
        <v>285</v>
      </c>
      <c r="P2254" s="6" t="s">
        <v>44</v>
      </c>
      <c r="Q2254" s="8" t="s">
        <v>45</v>
      </c>
      <c r="R2254" s="10" t="s">
        <v>12864</v>
      </c>
      <c r="S2254" s="11"/>
      <c r="T2254" s="6"/>
      <c r="U2254" s="24" t="str">
        <f>HYPERLINK("https://media.infra-m.ru/2006/2006880/cover/2006880.jpg", "Обложка")</f>
        <v>Обложка</v>
      </c>
      <c r="V2254" s="24" t="str">
        <f>HYPERLINK("https://znanium.ru/catalog/product/1027994", "Ознакомиться")</f>
        <v>Ознакомиться</v>
      </c>
      <c r="W2254" s="8" t="s">
        <v>176</v>
      </c>
      <c r="X2254" s="6"/>
      <c r="Y2254" s="6"/>
      <c r="Z2254" s="6"/>
      <c r="AA2254" s="6" t="s">
        <v>68</v>
      </c>
      <c r="AB2254" s="8"/>
    </row>
    <row r="2255" spans="1:28" s="4" customFormat="1" ht="44.1" customHeight="1">
      <c r="A2255" s="5">
        <v>0</v>
      </c>
      <c r="B2255" s="6" t="s">
        <v>12865</v>
      </c>
      <c r="C2255" s="7">
        <v>1320</v>
      </c>
      <c r="D2255" s="8" t="s">
        <v>12866</v>
      </c>
      <c r="E2255" s="8" t="s">
        <v>12867</v>
      </c>
      <c r="F2255" s="8" t="s">
        <v>12868</v>
      </c>
      <c r="G2255" s="6" t="s">
        <v>38</v>
      </c>
      <c r="H2255" s="6" t="s">
        <v>39</v>
      </c>
      <c r="I2255" s="8" t="s">
        <v>40</v>
      </c>
      <c r="J2255" s="9">
        <v>1</v>
      </c>
      <c r="K2255" s="9">
        <v>301</v>
      </c>
      <c r="L2255" s="9">
        <v>2021</v>
      </c>
      <c r="M2255" s="8" t="s">
        <v>12869</v>
      </c>
      <c r="N2255" s="8" t="s">
        <v>284</v>
      </c>
      <c r="O2255" s="8" t="s">
        <v>2265</v>
      </c>
      <c r="P2255" s="6" t="s">
        <v>44</v>
      </c>
      <c r="Q2255" s="8" t="s">
        <v>45</v>
      </c>
      <c r="R2255" s="10" t="s">
        <v>4078</v>
      </c>
      <c r="S2255" s="11"/>
      <c r="T2255" s="6"/>
      <c r="U2255" s="24" t="str">
        <f>HYPERLINK("https://media.infra-m.ru/1146/1146805/cover/1146805.jpg", "Обложка")</f>
        <v>Обложка</v>
      </c>
      <c r="V2255" s="24" t="str">
        <f>HYPERLINK("https://znanium.ru/catalog/product/1146805", "Ознакомиться")</f>
        <v>Ознакомиться</v>
      </c>
      <c r="W2255" s="8" t="s">
        <v>6154</v>
      </c>
      <c r="X2255" s="6"/>
      <c r="Y2255" s="6"/>
      <c r="Z2255" s="6"/>
      <c r="AA2255" s="6" t="s">
        <v>199</v>
      </c>
      <c r="AB2255" s="8"/>
    </row>
    <row r="2256" spans="1:28" s="4" customFormat="1" ht="42" customHeight="1">
      <c r="A2256" s="5">
        <v>0</v>
      </c>
      <c r="B2256" s="6" t="s">
        <v>12870</v>
      </c>
      <c r="C2256" s="7">
        <v>1408.8</v>
      </c>
      <c r="D2256" s="8" t="s">
        <v>12871</v>
      </c>
      <c r="E2256" s="8" t="s">
        <v>12872</v>
      </c>
      <c r="F2256" s="8" t="s">
        <v>12873</v>
      </c>
      <c r="G2256" s="6" t="s">
        <v>81</v>
      </c>
      <c r="H2256" s="6" t="s">
        <v>39</v>
      </c>
      <c r="I2256" s="8" t="s">
        <v>40</v>
      </c>
      <c r="J2256" s="9">
        <v>1</v>
      </c>
      <c r="K2256" s="9">
        <v>258</v>
      </c>
      <c r="L2256" s="9">
        <v>2023</v>
      </c>
      <c r="M2256" s="8" t="s">
        <v>12874</v>
      </c>
      <c r="N2256" s="8" t="s">
        <v>284</v>
      </c>
      <c r="O2256" s="8" t="s">
        <v>285</v>
      </c>
      <c r="P2256" s="6" t="s">
        <v>44</v>
      </c>
      <c r="Q2256" s="8" t="s">
        <v>45</v>
      </c>
      <c r="R2256" s="10" t="s">
        <v>8384</v>
      </c>
      <c r="S2256" s="11"/>
      <c r="T2256" s="6"/>
      <c r="U2256" s="24" t="str">
        <f>HYPERLINK("https://media.infra-m.ru/2006/2006931/cover/2006931.jpg", "Обложка")</f>
        <v>Обложка</v>
      </c>
      <c r="V2256" s="24" t="str">
        <f>HYPERLINK("https://znanium.ru/catalog/product/1062027", "Ознакомиться")</f>
        <v>Ознакомиться</v>
      </c>
      <c r="W2256" s="8" t="s">
        <v>1323</v>
      </c>
      <c r="X2256" s="6"/>
      <c r="Y2256" s="6"/>
      <c r="Z2256" s="6"/>
      <c r="AA2256" s="6" t="s">
        <v>68</v>
      </c>
      <c r="AB2256" s="8"/>
    </row>
    <row r="2257" spans="1:28" s="4" customFormat="1" ht="42" customHeight="1">
      <c r="A2257" s="5">
        <v>0</v>
      </c>
      <c r="B2257" s="6" t="s">
        <v>12875</v>
      </c>
      <c r="C2257" s="7">
        <v>1476</v>
      </c>
      <c r="D2257" s="8" t="s">
        <v>12876</v>
      </c>
      <c r="E2257" s="8" t="s">
        <v>12877</v>
      </c>
      <c r="F2257" s="8" t="s">
        <v>12878</v>
      </c>
      <c r="G2257" s="6" t="s">
        <v>38</v>
      </c>
      <c r="H2257" s="6" t="s">
        <v>39</v>
      </c>
      <c r="I2257" s="8" t="s">
        <v>40</v>
      </c>
      <c r="J2257" s="9">
        <v>1</v>
      </c>
      <c r="K2257" s="9">
        <v>273</v>
      </c>
      <c r="L2257" s="9">
        <v>2021</v>
      </c>
      <c r="M2257" s="8" t="s">
        <v>12879</v>
      </c>
      <c r="N2257" s="8" t="s">
        <v>229</v>
      </c>
      <c r="O2257" s="8" t="s">
        <v>230</v>
      </c>
      <c r="P2257" s="6" t="s">
        <v>44</v>
      </c>
      <c r="Q2257" s="8" t="s">
        <v>45</v>
      </c>
      <c r="R2257" s="10" t="s">
        <v>508</v>
      </c>
      <c r="S2257" s="11"/>
      <c r="T2257" s="6"/>
      <c r="U2257" s="24" t="str">
        <f>HYPERLINK("https://media.infra-m.ru/1947/1947401/cover/1947401.jpg", "Обложка")</f>
        <v>Обложка</v>
      </c>
      <c r="V2257" s="24" t="str">
        <f>HYPERLINK("https://znanium.ru/catalog/product/1098272", "Ознакомиться")</f>
        <v>Ознакомиться</v>
      </c>
      <c r="W2257" s="8" t="s">
        <v>2872</v>
      </c>
      <c r="X2257" s="6"/>
      <c r="Y2257" s="6"/>
      <c r="Z2257" s="6"/>
      <c r="AA2257" s="6" t="s">
        <v>199</v>
      </c>
      <c r="AB2257" s="8"/>
    </row>
    <row r="2258" spans="1:28" s="4" customFormat="1" ht="44.1" customHeight="1">
      <c r="A2258" s="5">
        <v>0</v>
      </c>
      <c r="B2258" s="6" t="s">
        <v>12880</v>
      </c>
      <c r="C2258" s="13">
        <v>796.8</v>
      </c>
      <c r="D2258" s="8" t="s">
        <v>12881</v>
      </c>
      <c r="E2258" s="8" t="s">
        <v>12882</v>
      </c>
      <c r="F2258" s="8" t="s">
        <v>12883</v>
      </c>
      <c r="G2258" s="6" t="s">
        <v>38</v>
      </c>
      <c r="H2258" s="6" t="s">
        <v>39</v>
      </c>
      <c r="I2258" s="8" t="s">
        <v>40</v>
      </c>
      <c r="J2258" s="9">
        <v>1</v>
      </c>
      <c r="K2258" s="9">
        <v>145</v>
      </c>
      <c r="L2258" s="9">
        <v>2023</v>
      </c>
      <c r="M2258" s="8" t="s">
        <v>12884</v>
      </c>
      <c r="N2258" s="8" t="s">
        <v>229</v>
      </c>
      <c r="O2258" s="8" t="s">
        <v>230</v>
      </c>
      <c r="P2258" s="6" t="s">
        <v>44</v>
      </c>
      <c r="Q2258" s="8" t="s">
        <v>45</v>
      </c>
      <c r="R2258" s="10" t="s">
        <v>12885</v>
      </c>
      <c r="S2258" s="11"/>
      <c r="T2258" s="6"/>
      <c r="U2258" s="24" t="str">
        <f>HYPERLINK("https://media.infra-m.ru/2080/2080758/cover/2080758.jpg", "Обложка")</f>
        <v>Обложка</v>
      </c>
      <c r="V2258" s="24" t="str">
        <f>HYPERLINK("https://znanium.ru/catalog/product/1931492", "Ознакомиться")</f>
        <v>Ознакомиться</v>
      </c>
      <c r="W2258" s="8" t="s">
        <v>7159</v>
      </c>
      <c r="X2258" s="6"/>
      <c r="Y2258" s="6"/>
      <c r="Z2258" s="6"/>
      <c r="AA2258" s="6" t="s">
        <v>277</v>
      </c>
      <c r="AB2258" s="8"/>
    </row>
    <row r="2259" spans="1:28" s="4" customFormat="1" ht="42" customHeight="1">
      <c r="A2259" s="5">
        <v>0</v>
      </c>
      <c r="B2259" s="6" t="s">
        <v>12886</v>
      </c>
      <c r="C2259" s="7">
        <v>1272</v>
      </c>
      <c r="D2259" s="8" t="s">
        <v>12887</v>
      </c>
      <c r="E2259" s="8" t="s">
        <v>12888</v>
      </c>
      <c r="F2259" s="8" t="s">
        <v>12889</v>
      </c>
      <c r="G2259" s="6" t="s">
        <v>132</v>
      </c>
      <c r="H2259" s="6" t="s">
        <v>39</v>
      </c>
      <c r="I2259" s="8" t="s">
        <v>40</v>
      </c>
      <c r="J2259" s="9">
        <v>1</v>
      </c>
      <c r="K2259" s="9">
        <v>209</v>
      </c>
      <c r="L2259" s="9">
        <v>2024</v>
      </c>
      <c r="M2259" s="8" t="s">
        <v>12890</v>
      </c>
      <c r="N2259" s="8" t="s">
        <v>42</v>
      </c>
      <c r="O2259" s="8" t="s">
        <v>101</v>
      </c>
      <c r="P2259" s="6" t="s">
        <v>44</v>
      </c>
      <c r="Q2259" s="8" t="s">
        <v>45</v>
      </c>
      <c r="R2259" s="10" t="s">
        <v>12891</v>
      </c>
      <c r="S2259" s="11"/>
      <c r="T2259" s="6"/>
      <c r="U2259" s="24" t="str">
        <f>HYPERLINK("https://media.infra-m.ru/2048/2048106/cover/2048106.jpg", "Обложка")</f>
        <v>Обложка</v>
      </c>
      <c r="V2259" s="24" t="str">
        <f>HYPERLINK("https://znanium.ru/catalog/product/2048106", "Ознакомиться")</f>
        <v>Ознакомиться</v>
      </c>
      <c r="W2259" s="8" t="s">
        <v>1413</v>
      </c>
      <c r="X2259" s="6"/>
      <c r="Y2259" s="6"/>
      <c r="Z2259" s="6"/>
      <c r="AA2259" s="6" t="s">
        <v>58</v>
      </c>
      <c r="AB2259" s="8"/>
    </row>
    <row r="2260" spans="1:28" s="4" customFormat="1" ht="42" customHeight="1">
      <c r="A2260" s="5">
        <v>0</v>
      </c>
      <c r="B2260" s="6" t="s">
        <v>12892</v>
      </c>
      <c r="C2260" s="7">
        <v>1764</v>
      </c>
      <c r="D2260" s="8" t="s">
        <v>12893</v>
      </c>
      <c r="E2260" s="8" t="s">
        <v>12894</v>
      </c>
      <c r="F2260" s="8" t="s">
        <v>12895</v>
      </c>
      <c r="G2260" s="6" t="s">
        <v>81</v>
      </c>
      <c r="H2260" s="6" t="s">
        <v>39</v>
      </c>
      <c r="I2260" s="8" t="s">
        <v>40</v>
      </c>
      <c r="J2260" s="9">
        <v>1</v>
      </c>
      <c r="K2260" s="9">
        <v>281</v>
      </c>
      <c r="L2260" s="9">
        <v>2025</v>
      </c>
      <c r="M2260" s="8" t="s">
        <v>12896</v>
      </c>
      <c r="N2260" s="8" t="s">
        <v>220</v>
      </c>
      <c r="O2260" s="8" t="s">
        <v>221</v>
      </c>
      <c r="P2260" s="6" t="s">
        <v>44</v>
      </c>
      <c r="Q2260" s="8" t="s">
        <v>45</v>
      </c>
      <c r="R2260" s="10" t="s">
        <v>6792</v>
      </c>
      <c r="S2260" s="11"/>
      <c r="T2260" s="6"/>
      <c r="U2260" s="24" t="str">
        <f>HYPERLINK("https://media.infra-m.ru/2208/2208450/cover/2208450.jpg", "Обложка")</f>
        <v>Обложка</v>
      </c>
      <c r="V2260" s="24" t="str">
        <f>HYPERLINK("https://znanium.ru/catalog/product/2208450", "Ознакомиться")</f>
        <v>Ознакомиться</v>
      </c>
      <c r="W2260" s="8" t="s">
        <v>12897</v>
      </c>
      <c r="X2260" s="6"/>
      <c r="Y2260" s="6"/>
      <c r="Z2260" s="6"/>
      <c r="AA2260" s="6" t="s">
        <v>76</v>
      </c>
      <c r="AB2260" s="8"/>
    </row>
    <row r="2261" spans="1:28" s="4" customFormat="1" ht="51.95" customHeight="1">
      <c r="A2261" s="5">
        <v>0</v>
      </c>
      <c r="B2261" s="6" t="s">
        <v>12898</v>
      </c>
      <c r="C2261" s="7">
        <v>1020</v>
      </c>
      <c r="D2261" s="8" t="s">
        <v>12899</v>
      </c>
      <c r="E2261" s="8" t="s">
        <v>12900</v>
      </c>
      <c r="F2261" s="8" t="s">
        <v>12901</v>
      </c>
      <c r="G2261" s="6" t="s">
        <v>81</v>
      </c>
      <c r="H2261" s="6" t="s">
        <v>39</v>
      </c>
      <c r="I2261" s="8" t="s">
        <v>40</v>
      </c>
      <c r="J2261" s="9">
        <v>1</v>
      </c>
      <c r="K2261" s="9">
        <v>188</v>
      </c>
      <c r="L2261" s="9">
        <v>2018</v>
      </c>
      <c r="M2261" s="8" t="s">
        <v>12902</v>
      </c>
      <c r="N2261" s="8" t="s">
        <v>42</v>
      </c>
      <c r="O2261" s="8" t="s">
        <v>65</v>
      </c>
      <c r="P2261" s="6" t="s">
        <v>44</v>
      </c>
      <c r="Q2261" s="8" t="s">
        <v>45</v>
      </c>
      <c r="R2261" s="10" t="s">
        <v>12903</v>
      </c>
      <c r="S2261" s="11"/>
      <c r="T2261" s="6"/>
      <c r="U2261" s="24" t="str">
        <f>HYPERLINK("https://media.infra-m.ru/1953/1953611/cover/1953611.jpg", "Обложка")</f>
        <v>Обложка</v>
      </c>
      <c r="V2261" s="24" t="str">
        <f>HYPERLINK("https://znanium.ru/catalog/product/918477", "Ознакомиться")</f>
        <v>Ознакомиться</v>
      </c>
      <c r="W2261" s="8" t="s">
        <v>773</v>
      </c>
      <c r="X2261" s="6"/>
      <c r="Y2261" s="6"/>
      <c r="Z2261" s="6"/>
      <c r="AA2261" s="6" t="s">
        <v>1050</v>
      </c>
      <c r="AB2261" s="8"/>
    </row>
    <row r="2262" spans="1:28" s="4" customFormat="1" ht="51.95" customHeight="1">
      <c r="A2262" s="5">
        <v>0</v>
      </c>
      <c r="B2262" s="6" t="s">
        <v>12904</v>
      </c>
      <c r="C2262" s="7">
        <v>1296</v>
      </c>
      <c r="D2262" s="8" t="s">
        <v>12905</v>
      </c>
      <c r="E2262" s="8" t="s">
        <v>12906</v>
      </c>
      <c r="F2262" s="8" t="s">
        <v>12907</v>
      </c>
      <c r="G2262" s="6" t="s">
        <v>81</v>
      </c>
      <c r="H2262" s="6" t="s">
        <v>39</v>
      </c>
      <c r="I2262" s="8" t="s">
        <v>828</v>
      </c>
      <c r="J2262" s="9">
        <v>1</v>
      </c>
      <c r="K2262" s="9">
        <v>240</v>
      </c>
      <c r="L2262" s="9">
        <v>2023</v>
      </c>
      <c r="M2262" s="8" t="s">
        <v>12908</v>
      </c>
      <c r="N2262" s="8" t="s">
        <v>42</v>
      </c>
      <c r="O2262" s="8" t="s">
        <v>246</v>
      </c>
      <c r="P2262" s="6" t="s">
        <v>659</v>
      </c>
      <c r="Q2262" s="8" t="s">
        <v>45</v>
      </c>
      <c r="R2262" s="10" t="s">
        <v>12909</v>
      </c>
      <c r="S2262" s="11"/>
      <c r="T2262" s="6"/>
      <c r="U2262" s="24" t="str">
        <f>HYPERLINK("https://media.infra-m.ru/1920/1920496/cover/1920496.jpg", "Обложка")</f>
        <v>Обложка</v>
      </c>
      <c r="V2262" s="24" t="str">
        <f>HYPERLINK("https://znanium.ru/catalog/product/1920496", "Ознакомиться")</f>
        <v>Ознакомиться</v>
      </c>
      <c r="W2262" s="8" t="s">
        <v>207</v>
      </c>
      <c r="X2262" s="6"/>
      <c r="Y2262" s="6"/>
      <c r="Z2262" s="6"/>
      <c r="AA2262" s="6" t="s">
        <v>536</v>
      </c>
      <c r="AB2262" s="8"/>
    </row>
    <row r="2263" spans="1:28" s="4" customFormat="1" ht="51.95" customHeight="1">
      <c r="A2263" s="5">
        <v>0</v>
      </c>
      <c r="B2263" s="6" t="s">
        <v>12910</v>
      </c>
      <c r="C2263" s="13">
        <v>648</v>
      </c>
      <c r="D2263" s="8" t="s">
        <v>12911</v>
      </c>
      <c r="E2263" s="8" t="s">
        <v>12912</v>
      </c>
      <c r="F2263" s="8" t="s">
        <v>12913</v>
      </c>
      <c r="G2263" s="6" t="s">
        <v>38</v>
      </c>
      <c r="H2263" s="6" t="s">
        <v>39</v>
      </c>
      <c r="I2263" s="8" t="s">
        <v>5161</v>
      </c>
      <c r="J2263" s="9">
        <v>1</v>
      </c>
      <c r="K2263" s="9">
        <v>116</v>
      </c>
      <c r="L2263" s="9">
        <v>2024</v>
      </c>
      <c r="M2263" s="8" t="s">
        <v>12914</v>
      </c>
      <c r="N2263" s="8" t="s">
        <v>42</v>
      </c>
      <c r="O2263" s="8" t="s">
        <v>246</v>
      </c>
      <c r="P2263" s="6" t="s">
        <v>659</v>
      </c>
      <c r="Q2263" s="8" t="s">
        <v>45</v>
      </c>
      <c r="R2263" s="10" t="s">
        <v>12915</v>
      </c>
      <c r="S2263" s="11"/>
      <c r="T2263" s="6"/>
      <c r="U2263" s="24" t="str">
        <f>HYPERLINK("https://media.infra-m.ru/2083/2083908/cover/2083908.jpg", "Обложка")</f>
        <v>Обложка</v>
      </c>
      <c r="V2263" s="24" t="str">
        <f>HYPERLINK("https://znanium.ru/catalog/product/2083908", "Ознакомиться")</f>
        <v>Ознакомиться</v>
      </c>
      <c r="W2263" s="8" t="s">
        <v>207</v>
      </c>
      <c r="X2263" s="6"/>
      <c r="Y2263" s="6"/>
      <c r="Z2263" s="6"/>
      <c r="AA2263" s="6" t="s">
        <v>48</v>
      </c>
      <c r="AB2263" s="8"/>
    </row>
    <row r="2264" spans="1:28" s="4" customFormat="1" ht="51.95" customHeight="1">
      <c r="A2264" s="5">
        <v>0</v>
      </c>
      <c r="B2264" s="6" t="s">
        <v>12916</v>
      </c>
      <c r="C2264" s="7">
        <v>5878.8</v>
      </c>
      <c r="D2264" s="8" t="s">
        <v>12917</v>
      </c>
      <c r="E2264" s="8" t="s">
        <v>12918</v>
      </c>
      <c r="F2264" s="8" t="s">
        <v>12919</v>
      </c>
      <c r="G2264" s="6" t="s">
        <v>81</v>
      </c>
      <c r="H2264" s="6" t="s">
        <v>39</v>
      </c>
      <c r="I2264" s="8" t="s">
        <v>40</v>
      </c>
      <c r="J2264" s="9">
        <v>1</v>
      </c>
      <c r="K2264" s="9">
        <v>370</v>
      </c>
      <c r="L2264" s="9">
        <v>2025</v>
      </c>
      <c r="M2264" s="8" t="s">
        <v>12920</v>
      </c>
      <c r="N2264" s="8" t="s">
        <v>220</v>
      </c>
      <c r="O2264" s="8" t="s">
        <v>252</v>
      </c>
      <c r="P2264" s="6" t="s">
        <v>44</v>
      </c>
      <c r="Q2264" s="8" t="s">
        <v>45</v>
      </c>
      <c r="R2264" s="10" t="s">
        <v>12921</v>
      </c>
      <c r="S2264" s="11"/>
      <c r="T2264" s="6"/>
      <c r="U2264" s="24" t="str">
        <f>HYPERLINK("https://media.infra-m.ru/2204/2204580/cover/2204580.jpg", "Обложка")</f>
        <v>Обложка</v>
      </c>
      <c r="V2264" s="24" t="str">
        <f>HYPERLINK("https://znanium.ru/catalog/product/2204580", "Ознакомиться")</f>
        <v>Ознакомиться</v>
      </c>
      <c r="W2264" s="8" t="s">
        <v>3756</v>
      </c>
      <c r="X2264" s="6"/>
      <c r="Y2264" s="6"/>
      <c r="Z2264" s="6"/>
      <c r="AA2264" s="6" t="s">
        <v>58</v>
      </c>
      <c r="AB2264" s="8" t="s">
        <v>12922</v>
      </c>
    </row>
    <row r="2265" spans="1:28" s="4" customFormat="1" ht="44.1" customHeight="1">
      <c r="A2265" s="5">
        <v>0</v>
      </c>
      <c r="B2265" s="6" t="s">
        <v>12923</v>
      </c>
      <c r="C2265" s="13">
        <v>660</v>
      </c>
      <c r="D2265" s="8" t="s">
        <v>12924</v>
      </c>
      <c r="E2265" s="8" t="s">
        <v>12925</v>
      </c>
      <c r="F2265" s="8" t="s">
        <v>12926</v>
      </c>
      <c r="G2265" s="6" t="s">
        <v>38</v>
      </c>
      <c r="H2265" s="6" t="s">
        <v>39</v>
      </c>
      <c r="I2265" s="8" t="s">
        <v>40</v>
      </c>
      <c r="J2265" s="9">
        <v>1</v>
      </c>
      <c r="K2265" s="9">
        <v>118</v>
      </c>
      <c r="L2265" s="9">
        <v>2024</v>
      </c>
      <c r="M2265" s="8" t="s">
        <v>12927</v>
      </c>
      <c r="N2265" s="8" t="s">
        <v>42</v>
      </c>
      <c r="O2265" s="8" t="s">
        <v>246</v>
      </c>
      <c r="P2265" s="6" t="s">
        <v>44</v>
      </c>
      <c r="Q2265" s="8" t="s">
        <v>45</v>
      </c>
      <c r="R2265" s="10" t="s">
        <v>12928</v>
      </c>
      <c r="S2265" s="11"/>
      <c r="T2265" s="6"/>
      <c r="U2265" s="24" t="str">
        <f>HYPERLINK("https://media.infra-m.ru/1830/1830703/cover/1830703.jpg", "Обложка")</f>
        <v>Обложка</v>
      </c>
      <c r="V2265" s="24" t="str">
        <f>HYPERLINK("https://znanium.ru/catalog/product/1830703", "Ознакомиться")</f>
        <v>Ознакомиться</v>
      </c>
      <c r="W2265" s="8" t="s">
        <v>207</v>
      </c>
      <c r="X2265" s="6"/>
      <c r="Y2265" s="6"/>
      <c r="Z2265" s="6"/>
      <c r="AA2265" s="6" t="s">
        <v>127</v>
      </c>
      <c r="AB2265" s="8"/>
    </row>
    <row r="2266" spans="1:28" s="4" customFormat="1" ht="42" customHeight="1">
      <c r="A2266" s="5">
        <v>0</v>
      </c>
      <c r="B2266" s="6" t="s">
        <v>12929</v>
      </c>
      <c r="C2266" s="13">
        <v>708</v>
      </c>
      <c r="D2266" s="8" t="s">
        <v>12930</v>
      </c>
      <c r="E2266" s="8" t="s">
        <v>12931</v>
      </c>
      <c r="F2266" s="8" t="s">
        <v>12932</v>
      </c>
      <c r="G2266" s="6" t="s">
        <v>38</v>
      </c>
      <c r="H2266" s="6" t="s">
        <v>39</v>
      </c>
      <c r="I2266" s="8" t="s">
        <v>40</v>
      </c>
      <c r="J2266" s="9">
        <v>1</v>
      </c>
      <c r="K2266" s="9">
        <v>150</v>
      </c>
      <c r="L2266" s="9">
        <v>2022</v>
      </c>
      <c r="M2266" s="8" t="s">
        <v>12933</v>
      </c>
      <c r="N2266" s="8" t="s">
        <v>42</v>
      </c>
      <c r="O2266" s="8" t="s">
        <v>189</v>
      </c>
      <c r="P2266" s="6" t="s">
        <v>44</v>
      </c>
      <c r="Q2266" s="8" t="s">
        <v>45</v>
      </c>
      <c r="R2266" s="10" t="s">
        <v>12393</v>
      </c>
      <c r="S2266" s="11"/>
      <c r="T2266" s="6"/>
      <c r="U2266" s="24" t="str">
        <f>HYPERLINK("https://media.infra-m.ru/1854/1854954/cover/1854954.jpg", "Обложка")</f>
        <v>Обложка</v>
      </c>
      <c r="V2266" s="24" t="str">
        <f>HYPERLINK("https://znanium.ru/catalog/product/1854954", "Ознакомиться")</f>
        <v>Ознакомиться</v>
      </c>
      <c r="W2266" s="8" t="s">
        <v>2234</v>
      </c>
      <c r="X2266" s="6"/>
      <c r="Y2266" s="6"/>
      <c r="Z2266" s="6"/>
      <c r="AA2266" s="6" t="s">
        <v>48</v>
      </c>
      <c r="AB2266" s="8"/>
    </row>
    <row r="2267" spans="1:28" s="4" customFormat="1" ht="42" customHeight="1">
      <c r="A2267" s="5">
        <v>0</v>
      </c>
      <c r="B2267" s="6" t="s">
        <v>12934</v>
      </c>
      <c r="C2267" s="7">
        <v>1044</v>
      </c>
      <c r="D2267" s="8" t="s">
        <v>12935</v>
      </c>
      <c r="E2267" s="8" t="s">
        <v>12936</v>
      </c>
      <c r="F2267" s="8" t="s">
        <v>697</v>
      </c>
      <c r="G2267" s="6" t="s">
        <v>38</v>
      </c>
      <c r="H2267" s="6" t="s">
        <v>39</v>
      </c>
      <c r="I2267" s="8" t="s">
        <v>40</v>
      </c>
      <c r="J2267" s="9">
        <v>1</v>
      </c>
      <c r="K2267" s="9">
        <v>228</v>
      </c>
      <c r="L2267" s="9">
        <v>2021</v>
      </c>
      <c r="M2267" s="8" t="s">
        <v>12937</v>
      </c>
      <c r="N2267" s="8" t="s">
        <v>54</v>
      </c>
      <c r="O2267" s="8" t="s">
        <v>91</v>
      </c>
      <c r="P2267" s="6" t="s">
        <v>44</v>
      </c>
      <c r="Q2267" s="8" t="s">
        <v>45</v>
      </c>
      <c r="R2267" s="10" t="s">
        <v>197</v>
      </c>
      <c r="S2267" s="11"/>
      <c r="T2267" s="6"/>
      <c r="U2267" s="24" t="str">
        <f>HYPERLINK("https://media.infra-m.ru/1088/1088340/cover/1088340.jpg", "Обложка")</f>
        <v>Обложка</v>
      </c>
      <c r="V2267" s="24" t="str">
        <f>HYPERLINK("https://znanium.ru/catalog/product/1088340", "Ознакомиться")</f>
        <v>Ознакомиться</v>
      </c>
      <c r="W2267" s="8" t="s">
        <v>699</v>
      </c>
      <c r="X2267" s="6"/>
      <c r="Y2267" s="6"/>
      <c r="Z2267" s="6"/>
      <c r="AA2267" s="6" t="s">
        <v>199</v>
      </c>
      <c r="AB2267" s="8"/>
    </row>
    <row r="2268" spans="1:28" s="4" customFormat="1" ht="51.95" customHeight="1">
      <c r="A2268" s="5">
        <v>0</v>
      </c>
      <c r="B2268" s="6" t="s">
        <v>12938</v>
      </c>
      <c r="C2268" s="7">
        <v>1696.8</v>
      </c>
      <c r="D2268" s="8" t="s">
        <v>12939</v>
      </c>
      <c r="E2268" s="8" t="s">
        <v>12940</v>
      </c>
      <c r="F2268" s="8" t="s">
        <v>12941</v>
      </c>
      <c r="G2268" s="6" t="s">
        <v>38</v>
      </c>
      <c r="H2268" s="6" t="s">
        <v>182</v>
      </c>
      <c r="I2268" s="8" t="s">
        <v>40</v>
      </c>
      <c r="J2268" s="9">
        <v>1</v>
      </c>
      <c r="K2268" s="9">
        <v>283</v>
      </c>
      <c r="L2268" s="9">
        <v>2025</v>
      </c>
      <c r="M2268" s="8" t="s">
        <v>12942</v>
      </c>
      <c r="N2268" s="8" t="s">
        <v>220</v>
      </c>
      <c r="O2268" s="8" t="s">
        <v>252</v>
      </c>
      <c r="P2268" s="6" t="s">
        <v>44</v>
      </c>
      <c r="Q2268" s="8" t="s">
        <v>45</v>
      </c>
      <c r="R2268" s="10" t="s">
        <v>12943</v>
      </c>
      <c r="S2268" s="11"/>
      <c r="T2268" s="6"/>
      <c r="U2268" s="24" t="str">
        <f>HYPERLINK("https://media.infra-m.ru/2168/2168394/cover/2168394.jpg", "Обложка")</f>
        <v>Обложка</v>
      </c>
      <c r="V2268" s="24" t="str">
        <f>HYPERLINK("https://znanium.ru/catalog/product/1036626", "Ознакомиться")</f>
        <v>Ознакомиться</v>
      </c>
      <c r="W2268" s="8" t="s">
        <v>12944</v>
      </c>
      <c r="X2268" s="6"/>
      <c r="Y2268" s="6"/>
      <c r="Z2268" s="6"/>
      <c r="AA2268" s="6" t="s">
        <v>369</v>
      </c>
      <c r="AB2268" s="8"/>
    </row>
    <row r="2269" spans="1:28" s="4" customFormat="1" ht="51.95" customHeight="1">
      <c r="A2269" s="5">
        <v>0</v>
      </c>
      <c r="B2269" s="6" t="s">
        <v>12945</v>
      </c>
      <c r="C2269" s="7">
        <v>2346</v>
      </c>
      <c r="D2269" s="8" t="s">
        <v>12946</v>
      </c>
      <c r="E2269" s="8" t="s">
        <v>12947</v>
      </c>
      <c r="F2269" s="8" t="s">
        <v>12948</v>
      </c>
      <c r="G2269" s="6" t="s">
        <v>132</v>
      </c>
      <c r="H2269" s="6" t="s">
        <v>39</v>
      </c>
      <c r="I2269" s="8"/>
      <c r="J2269" s="9">
        <v>1</v>
      </c>
      <c r="K2269" s="9">
        <v>609</v>
      </c>
      <c r="L2269" s="9">
        <v>2023</v>
      </c>
      <c r="M2269" s="8" t="s">
        <v>12949</v>
      </c>
      <c r="N2269" s="8" t="s">
        <v>42</v>
      </c>
      <c r="O2269" s="8" t="s">
        <v>65</v>
      </c>
      <c r="P2269" s="6" t="s">
        <v>44</v>
      </c>
      <c r="Q2269" s="8" t="s">
        <v>45</v>
      </c>
      <c r="R2269" s="10" t="s">
        <v>12950</v>
      </c>
      <c r="S2269" s="11"/>
      <c r="T2269" s="6"/>
      <c r="U2269" s="24" t="str">
        <f>HYPERLINK("https://media.infra-m.ru/1922/1922246/cover/1922246.jpg", "Обложка")</f>
        <v>Обложка</v>
      </c>
      <c r="V2269" s="24" t="str">
        <f>HYPERLINK("https://znanium.ru/catalog/product/1247123", "Ознакомиться")</f>
        <v>Ознакомиться</v>
      </c>
      <c r="W2269" s="8" t="s">
        <v>361</v>
      </c>
      <c r="X2269" s="6"/>
      <c r="Y2269" s="6"/>
      <c r="Z2269" s="6"/>
      <c r="AA2269" s="6" t="s">
        <v>68</v>
      </c>
      <c r="AB2269" s="8"/>
    </row>
    <row r="2270" spans="1:28" s="4" customFormat="1" ht="44.1" customHeight="1">
      <c r="A2270" s="5">
        <v>0</v>
      </c>
      <c r="B2270" s="6" t="s">
        <v>12951</v>
      </c>
      <c r="C2270" s="13">
        <v>581.9</v>
      </c>
      <c r="D2270" s="8" t="s">
        <v>12952</v>
      </c>
      <c r="E2270" s="8" t="s">
        <v>12953</v>
      </c>
      <c r="F2270" s="8" t="s">
        <v>1871</v>
      </c>
      <c r="G2270" s="6" t="s">
        <v>38</v>
      </c>
      <c r="H2270" s="6" t="s">
        <v>39</v>
      </c>
      <c r="I2270" s="8" t="s">
        <v>40</v>
      </c>
      <c r="J2270" s="9">
        <v>1</v>
      </c>
      <c r="K2270" s="9">
        <v>91</v>
      </c>
      <c r="L2270" s="9">
        <v>2018</v>
      </c>
      <c r="M2270" s="8" t="s">
        <v>12954</v>
      </c>
      <c r="N2270" s="8" t="s">
        <v>42</v>
      </c>
      <c r="O2270" s="8" t="s">
        <v>65</v>
      </c>
      <c r="P2270" s="6" t="s">
        <v>44</v>
      </c>
      <c r="Q2270" s="8" t="s">
        <v>45</v>
      </c>
      <c r="R2270" s="10" t="s">
        <v>12955</v>
      </c>
      <c r="S2270" s="11"/>
      <c r="T2270" s="6"/>
      <c r="U2270" s="24" t="str">
        <f>HYPERLINK("https://media.infra-m.ru/0937/0937973/cover/937973.jpg", "Обложка")</f>
        <v>Обложка</v>
      </c>
      <c r="V2270" s="24" t="str">
        <f>HYPERLINK("https://znanium.ru/catalog/product/937973", "Ознакомиться")</f>
        <v>Ознакомиться</v>
      </c>
      <c r="W2270" s="8" t="s">
        <v>1874</v>
      </c>
      <c r="X2270" s="6"/>
      <c r="Y2270" s="6"/>
      <c r="Z2270" s="6"/>
      <c r="AA2270" s="6" t="s">
        <v>377</v>
      </c>
      <c r="AB2270" s="8"/>
    </row>
    <row r="2271" spans="1:28" s="4" customFormat="1" ht="42" customHeight="1">
      <c r="A2271" s="5">
        <v>0</v>
      </c>
      <c r="B2271" s="6" t="s">
        <v>12956</v>
      </c>
      <c r="C2271" s="7">
        <v>1416</v>
      </c>
      <c r="D2271" s="8" t="s">
        <v>12957</v>
      </c>
      <c r="E2271" s="8" t="s">
        <v>12958</v>
      </c>
      <c r="F2271" s="8" t="s">
        <v>12959</v>
      </c>
      <c r="G2271" s="6" t="s">
        <v>132</v>
      </c>
      <c r="H2271" s="6" t="s">
        <v>39</v>
      </c>
      <c r="I2271" s="8" t="s">
        <v>40</v>
      </c>
      <c r="J2271" s="9">
        <v>1</v>
      </c>
      <c r="K2271" s="9">
        <v>241</v>
      </c>
      <c r="L2271" s="9">
        <v>2024</v>
      </c>
      <c r="M2271" s="8" t="s">
        <v>12960</v>
      </c>
      <c r="N2271" s="8" t="s">
        <v>42</v>
      </c>
      <c r="O2271" s="8" t="s">
        <v>65</v>
      </c>
      <c r="P2271" s="6" t="s">
        <v>44</v>
      </c>
      <c r="Q2271" s="8" t="s">
        <v>45</v>
      </c>
      <c r="R2271" s="10" t="s">
        <v>10810</v>
      </c>
      <c r="S2271" s="11"/>
      <c r="T2271" s="6"/>
      <c r="U2271" s="24" t="str">
        <f>HYPERLINK("https://media.infra-m.ru/2119/2119965/cover/2119965.jpg", "Обложка")</f>
        <v>Обложка</v>
      </c>
      <c r="V2271" s="24" t="str">
        <f>HYPERLINK("https://znanium.ru/catalog/product/2119965", "Ознакомиться")</f>
        <v>Ознакомиться</v>
      </c>
      <c r="W2271" s="8" t="s">
        <v>3131</v>
      </c>
      <c r="X2271" s="6"/>
      <c r="Y2271" s="6"/>
      <c r="Z2271" s="6"/>
      <c r="AA2271" s="6" t="s">
        <v>58</v>
      </c>
      <c r="AB2271" s="8"/>
    </row>
    <row r="2272" spans="1:28" s="4" customFormat="1" ht="42" customHeight="1">
      <c r="A2272" s="5">
        <v>0</v>
      </c>
      <c r="B2272" s="6" t="s">
        <v>12961</v>
      </c>
      <c r="C2272" s="7">
        <v>6000</v>
      </c>
      <c r="D2272" s="8" t="s">
        <v>12962</v>
      </c>
      <c r="E2272" s="8" t="s">
        <v>12963</v>
      </c>
      <c r="F2272" s="8" t="s">
        <v>12964</v>
      </c>
      <c r="G2272" s="6" t="s">
        <v>81</v>
      </c>
      <c r="H2272" s="6" t="s">
        <v>39</v>
      </c>
      <c r="I2272" s="8" t="s">
        <v>40</v>
      </c>
      <c r="J2272" s="9">
        <v>1</v>
      </c>
      <c r="K2272" s="9">
        <v>1063</v>
      </c>
      <c r="L2272" s="9">
        <v>2025</v>
      </c>
      <c r="M2272" s="8" t="s">
        <v>12965</v>
      </c>
      <c r="N2272" s="8" t="s">
        <v>54</v>
      </c>
      <c r="O2272" s="8" t="s">
        <v>55</v>
      </c>
      <c r="P2272" s="6" t="s">
        <v>44</v>
      </c>
      <c r="Q2272" s="8" t="s">
        <v>45</v>
      </c>
      <c r="R2272" s="10" t="s">
        <v>1355</v>
      </c>
      <c r="S2272" s="11"/>
      <c r="T2272" s="6"/>
      <c r="U2272" s="24" t="str">
        <f>HYPERLINK("https://media.infra-m.ru/2198/2198970/cover/2198970.jpg", "Обложка")</f>
        <v>Обложка</v>
      </c>
      <c r="V2272" s="24" t="str">
        <f>HYPERLINK("https://znanium.ru/catalog/product/2198970", "Ознакомиться")</f>
        <v>Ознакомиться</v>
      </c>
      <c r="W2272" s="8" t="s">
        <v>5156</v>
      </c>
      <c r="X2272" s="6" t="s">
        <v>320</v>
      </c>
      <c r="Y2272" s="6"/>
      <c r="Z2272" s="6"/>
      <c r="AA2272" s="6" t="s">
        <v>159</v>
      </c>
      <c r="AB2272" s="8"/>
    </row>
    <row r="2273" spans="1:28" s="4" customFormat="1" ht="44.1" customHeight="1">
      <c r="A2273" s="5">
        <v>0</v>
      </c>
      <c r="B2273" s="6" t="s">
        <v>12966</v>
      </c>
      <c r="C2273" s="7">
        <v>2032.8</v>
      </c>
      <c r="D2273" s="8" t="s">
        <v>12967</v>
      </c>
      <c r="E2273" s="8" t="s">
        <v>12968</v>
      </c>
      <c r="F2273" s="8" t="s">
        <v>12969</v>
      </c>
      <c r="G2273" s="6" t="s">
        <v>38</v>
      </c>
      <c r="H2273" s="6" t="s">
        <v>3576</v>
      </c>
      <c r="I2273" s="8" t="s">
        <v>3577</v>
      </c>
      <c r="J2273" s="9">
        <v>1</v>
      </c>
      <c r="K2273" s="9">
        <v>368</v>
      </c>
      <c r="L2273" s="9">
        <v>2024</v>
      </c>
      <c r="M2273" s="8" t="s">
        <v>12970</v>
      </c>
      <c r="N2273" s="8" t="s">
        <v>42</v>
      </c>
      <c r="O2273" s="8" t="s">
        <v>189</v>
      </c>
      <c r="P2273" s="6" t="s">
        <v>44</v>
      </c>
      <c r="Q2273" s="8" t="s">
        <v>416</v>
      </c>
      <c r="R2273" s="10" t="s">
        <v>1036</v>
      </c>
      <c r="S2273" s="11"/>
      <c r="T2273" s="6"/>
      <c r="U2273" s="24" t="str">
        <f>HYPERLINK("https://media.infra-m.ru/2120/2120783/cover/2120783.jpg", "Обложка")</f>
        <v>Обложка</v>
      </c>
      <c r="V2273" s="24" t="str">
        <f>HYPERLINK("https://znanium.ru/catalog/product/1027409", "Ознакомиться")</f>
        <v>Ознакомиться</v>
      </c>
      <c r="W2273" s="8" t="s">
        <v>1336</v>
      </c>
      <c r="X2273" s="6"/>
      <c r="Y2273" s="6"/>
      <c r="Z2273" s="6"/>
      <c r="AA2273" s="6" t="s">
        <v>2288</v>
      </c>
      <c r="AB2273" s="8"/>
    </row>
    <row r="2274" spans="1:28" s="4" customFormat="1" ht="42" customHeight="1">
      <c r="A2274" s="5">
        <v>0</v>
      </c>
      <c r="B2274" s="6" t="s">
        <v>12971</v>
      </c>
      <c r="C2274" s="13">
        <v>744</v>
      </c>
      <c r="D2274" s="8" t="s">
        <v>12972</v>
      </c>
      <c r="E2274" s="8" t="s">
        <v>12973</v>
      </c>
      <c r="F2274" s="8" t="s">
        <v>12974</v>
      </c>
      <c r="G2274" s="6" t="s">
        <v>38</v>
      </c>
      <c r="H2274" s="6" t="s">
        <v>39</v>
      </c>
      <c r="I2274" s="8" t="s">
        <v>40</v>
      </c>
      <c r="J2274" s="9">
        <v>1</v>
      </c>
      <c r="K2274" s="9">
        <v>122</v>
      </c>
      <c r="L2274" s="9">
        <v>2022</v>
      </c>
      <c r="M2274" s="8" t="s">
        <v>12975</v>
      </c>
      <c r="N2274" s="8" t="s">
        <v>42</v>
      </c>
      <c r="O2274" s="8" t="s">
        <v>189</v>
      </c>
      <c r="P2274" s="6" t="s">
        <v>44</v>
      </c>
      <c r="Q2274" s="8" t="s">
        <v>45</v>
      </c>
      <c r="R2274" s="10" t="s">
        <v>1419</v>
      </c>
      <c r="S2274" s="11"/>
      <c r="T2274" s="6"/>
      <c r="U2274" s="24" t="str">
        <f>HYPERLINK("https://media.infra-m.ru/1738/1738755/cover/1738755.jpg", "Обложка")</f>
        <v>Обложка</v>
      </c>
      <c r="V2274" s="24" t="str">
        <f>HYPERLINK("https://znanium.ru/catalog/product/1738755", "Ознакомиться")</f>
        <v>Ознакомиться</v>
      </c>
      <c r="W2274" s="8" t="s">
        <v>346</v>
      </c>
      <c r="X2274" s="6"/>
      <c r="Y2274" s="6"/>
      <c r="Z2274" s="6"/>
      <c r="AA2274" s="6" t="s">
        <v>111</v>
      </c>
      <c r="AB2274" s="8"/>
    </row>
    <row r="2275" spans="1:28" s="4" customFormat="1" ht="42" customHeight="1">
      <c r="A2275" s="5">
        <v>0</v>
      </c>
      <c r="B2275" s="6" t="s">
        <v>12976</v>
      </c>
      <c r="C2275" s="7">
        <v>1764</v>
      </c>
      <c r="D2275" s="8" t="s">
        <v>12977</v>
      </c>
      <c r="E2275" s="8" t="s">
        <v>12978</v>
      </c>
      <c r="F2275" s="8" t="s">
        <v>12979</v>
      </c>
      <c r="G2275" s="6" t="s">
        <v>38</v>
      </c>
      <c r="H2275" s="6" t="s">
        <v>39</v>
      </c>
      <c r="I2275" s="8" t="s">
        <v>40</v>
      </c>
      <c r="J2275" s="9">
        <v>1</v>
      </c>
      <c r="K2275" s="9">
        <v>370</v>
      </c>
      <c r="L2275" s="9">
        <v>2022</v>
      </c>
      <c r="M2275" s="8" t="s">
        <v>12980</v>
      </c>
      <c r="N2275" s="8" t="s">
        <v>284</v>
      </c>
      <c r="O2275" s="8" t="s">
        <v>1549</v>
      </c>
      <c r="P2275" s="6" t="s">
        <v>44</v>
      </c>
      <c r="Q2275" s="8" t="s">
        <v>45</v>
      </c>
      <c r="R2275" s="10" t="s">
        <v>12981</v>
      </c>
      <c r="S2275" s="11"/>
      <c r="T2275" s="6"/>
      <c r="U2275" s="24" t="str">
        <f>HYPERLINK("https://media.infra-m.ru/1864/1864127/cover/1864127.jpg", "Обложка")</f>
        <v>Обложка</v>
      </c>
      <c r="V2275" s="24" t="str">
        <f>HYPERLINK("https://znanium.ru/catalog/product/1864127", "Ознакомиться")</f>
        <v>Ознакомиться</v>
      </c>
      <c r="W2275" s="8" t="s">
        <v>5222</v>
      </c>
      <c r="X2275" s="6"/>
      <c r="Y2275" s="6"/>
      <c r="Z2275" s="6"/>
      <c r="AA2275" s="6" t="s">
        <v>168</v>
      </c>
      <c r="AB2275" s="8"/>
    </row>
    <row r="2276" spans="1:28" s="4" customFormat="1" ht="44.1" customHeight="1">
      <c r="A2276" s="5">
        <v>0</v>
      </c>
      <c r="B2276" s="6" t="s">
        <v>12982</v>
      </c>
      <c r="C2276" s="7">
        <v>1070.3</v>
      </c>
      <c r="D2276" s="8" t="s">
        <v>12983</v>
      </c>
      <c r="E2276" s="8" t="s">
        <v>12984</v>
      </c>
      <c r="F2276" s="8" t="s">
        <v>12985</v>
      </c>
      <c r="G2276" s="6" t="s">
        <v>132</v>
      </c>
      <c r="H2276" s="6" t="s">
        <v>39</v>
      </c>
      <c r="I2276" s="8"/>
      <c r="J2276" s="9">
        <v>1</v>
      </c>
      <c r="K2276" s="9">
        <v>150</v>
      </c>
      <c r="L2276" s="9">
        <v>2020</v>
      </c>
      <c r="M2276" s="8" t="s">
        <v>12986</v>
      </c>
      <c r="N2276" s="8" t="s">
        <v>284</v>
      </c>
      <c r="O2276" s="8" t="s">
        <v>717</v>
      </c>
      <c r="P2276" s="6" t="s">
        <v>12987</v>
      </c>
      <c r="Q2276" s="8" t="s">
        <v>4480</v>
      </c>
      <c r="R2276" s="10" t="s">
        <v>12988</v>
      </c>
      <c r="S2276" s="11"/>
      <c r="T2276" s="6"/>
      <c r="U2276" s="24" t="str">
        <f>HYPERLINK("https://media.infra-m.ru/1208/1208559/cover/1208559.jpg", "Обложка")</f>
        <v>Обложка</v>
      </c>
      <c r="V2276" s="24" t="str">
        <f>HYPERLINK("https://znanium.ru/catalog/product/1215125", "Ознакомиться")</f>
        <v>Ознакомиться</v>
      </c>
      <c r="W2276" s="8" t="s">
        <v>12989</v>
      </c>
      <c r="X2276" s="6"/>
      <c r="Y2276" s="6"/>
      <c r="Z2276" s="6"/>
      <c r="AA2276" s="6" t="s">
        <v>168</v>
      </c>
      <c r="AB2276" s="8"/>
    </row>
    <row r="2277" spans="1:28" s="4" customFormat="1" ht="51.95" customHeight="1">
      <c r="A2277" s="5">
        <v>0</v>
      </c>
      <c r="B2277" s="6" t="s">
        <v>12990</v>
      </c>
      <c r="C2277" s="7">
        <v>1046.3</v>
      </c>
      <c r="D2277" s="8" t="s">
        <v>12991</v>
      </c>
      <c r="E2277" s="8" t="s">
        <v>12992</v>
      </c>
      <c r="F2277" s="8" t="s">
        <v>12993</v>
      </c>
      <c r="G2277" s="6" t="s">
        <v>132</v>
      </c>
      <c r="H2277" s="6" t="s">
        <v>39</v>
      </c>
      <c r="I2277" s="8"/>
      <c r="J2277" s="9">
        <v>1</v>
      </c>
      <c r="K2277" s="9">
        <v>91</v>
      </c>
      <c r="L2277" s="9">
        <v>2020</v>
      </c>
      <c r="M2277" s="8" t="s">
        <v>12994</v>
      </c>
      <c r="N2277" s="8" t="s">
        <v>284</v>
      </c>
      <c r="O2277" s="8" t="s">
        <v>717</v>
      </c>
      <c r="P2277" s="6" t="s">
        <v>12987</v>
      </c>
      <c r="Q2277" s="8" t="s">
        <v>287</v>
      </c>
      <c r="R2277" s="10" t="s">
        <v>12995</v>
      </c>
      <c r="S2277" s="11"/>
      <c r="T2277" s="6"/>
      <c r="U2277" s="24" t="str">
        <f>HYPERLINK("https://media.infra-m.ru/1208/1208558/cover/1208558.jpg", "Обложка")</f>
        <v>Обложка</v>
      </c>
      <c r="V2277" s="24" t="str">
        <f>HYPERLINK("https://znanium.ru/catalog/product/1232761", "Ознакомиться")</f>
        <v>Ознакомиться</v>
      </c>
      <c r="W2277" s="8" t="s">
        <v>12989</v>
      </c>
      <c r="X2277" s="6"/>
      <c r="Y2277" s="6"/>
      <c r="Z2277" s="6"/>
      <c r="AA2277" s="6" t="s">
        <v>168</v>
      </c>
      <c r="AB2277" s="8"/>
    </row>
    <row r="2278" spans="1:28" s="4" customFormat="1" ht="51.95" customHeight="1">
      <c r="A2278" s="5">
        <v>0</v>
      </c>
      <c r="B2278" s="6" t="s">
        <v>12996</v>
      </c>
      <c r="C2278" s="7">
        <v>1022.3</v>
      </c>
      <c r="D2278" s="8" t="s">
        <v>12997</v>
      </c>
      <c r="E2278" s="8" t="s">
        <v>12998</v>
      </c>
      <c r="F2278" s="8" t="s">
        <v>12999</v>
      </c>
      <c r="G2278" s="6" t="s">
        <v>132</v>
      </c>
      <c r="H2278" s="6" t="s">
        <v>39</v>
      </c>
      <c r="I2278" s="8"/>
      <c r="J2278" s="9">
        <v>1</v>
      </c>
      <c r="K2278" s="9">
        <v>51</v>
      </c>
      <c r="L2278" s="9">
        <v>2020</v>
      </c>
      <c r="M2278" s="8" t="s">
        <v>13000</v>
      </c>
      <c r="N2278" s="8" t="s">
        <v>284</v>
      </c>
      <c r="O2278" s="8" t="s">
        <v>717</v>
      </c>
      <c r="P2278" s="6" t="s">
        <v>12987</v>
      </c>
      <c r="Q2278" s="8" t="s">
        <v>4480</v>
      </c>
      <c r="R2278" s="10" t="s">
        <v>13001</v>
      </c>
      <c r="S2278" s="11"/>
      <c r="T2278" s="6"/>
      <c r="U2278" s="24" t="str">
        <f>HYPERLINK("https://media.infra-m.ru/1208/1208557/cover/1208557.jpg", "Обложка")</f>
        <v>Обложка</v>
      </c>
      <c r="V2278" s="24" t="str">
        <f>HYPERLINK("https://znanium.ru/catalog/product/1232762", "Ознакомиться")</f>
        <v>Ознакомиться</v>
      </c>
      <c r="W2278" s="8" t="s">
        <v>12989</v>
      </c>
      <c r="X2278" s="6"/>
      <c r="Y2278" s="6"/>
      <c r="Z2278" s="6"/>
      <c r="AA2278" s="6" t="s">
        <v>168</v>
      </c>
      <c r="AB2278" s="8"/>
    </row>
    <row r="2279" spans="1:28" s="4" customFormat="1" ht="51.95" customHeight="1">
      <c r="A2279" s="5">
        <v>0</v>
      </c>
      <c r="B2279" s="6" t="s">
        <v>13002</v>
      </c>
      <c r="C2279" s="13">
        <v>996</v>
      </c>
      <c r="D2279" s="8" t="s">
        <v>13003</v>
      </c>
      <c r="E2279" s="8" t="s">
        <v>13004</v>
      </c>
      <c r="F2279" s="8" t="s">
        <v>13005</v>
      </c>
      <c r="G2279" s="6" t="s">
        <v>81</v>
      </c>
      <c r="H2279" s="6" t="s">
        <v>39</v>
      </c>
      <c r="I2279" s="8" t="s">
        <v>828</v>
      </c>
      <c r="J2279" s="9">
        <v>1</v>
      </c>
      <c r="K2279" s="9">
        <v>172</v>
      </c>
      <c r="L2279" s="9">
        <v>2023</v>
      </c>
      <c r="M2279" s="8" t="s">
        <v>13006</v>
      </c>
      <c r="N2279" s="8" t="s">
        <v>220</v>
      </c>
      <c r="O2279" s="8" t="s">
        <v>1250</v>
      </c>
      <c r="P2279" s="6" t="s">
        <v>1195</v>
      </c>
      <c r="Q2279" s="8" t="s">
        <v>45</v>
      </c>
      <c r="R2279" s="10" t="s">
        <v>13007</v>
      </c>
      <c r="S2279" s="11"/>
      <c r="T2279" s="6"/>
      <c r="U2279" s="24" t="str">
        <f>HYPERLINK("https://media.infra-m.ru/1859/1859022/cover/1859022.jpg", "Обложка")</f>
        <v>Обложка</v>
      </c>
      <c r="V2279" s="24" t="str">
        <f>HYPERLINK("https://znanium.ru/catalog/product/1859022", "Ознакомиться")</f>
        <v>Ознакомиться</v>
      </c>
      <c r="W2279" s="8" t="s">
        <v>5443</v>
      </c>
      <c r="X2279" s="6"/>
      <c r="Y2279" s="6"/>
      <c r="Z2279" s="6"/>
      <c r="AA2279" s="6" t="s">
        <v>2288</v>
      </c>
      <c r="AB2279" s="8"/>
    </row>
    <row r="2280" spans="1:28" s="4" customFormat="1" ht="51.95" customHeight="1">
      <c r="A2280" s="5">
        <v>0</v>
      </c>
      <c r="B2280" s="6" t="s">
        <v>13008</v>
      </c>
      <c r="C2280" s="13">
        <v>796.8</v>
      </c>
      <c r="D2280" s="8" t="s">
        <v>13009</v>
      </c>
      <c r="E2280" s="8" t="s">
        <v>13010</v>
      </c>
      <c r="F2280" s="8" t="s">
        <v>13011</v>
      </c>
      <c r="G2280" s="6" t="s">
        <v>38</v>
      </c>
      <c r="H2280" s="6" t="s">
        <v>39</v>
      </c>
      <c r="I2280" s="8" t="s">
        <v>40</v>
      </c>
      <c r="J2280" s="9">
        <v>1</v>
      </c>
      <c r="K2280" s="9">
        <v>126</v>
      </c>
      <c r="L2280" s="9">
        <v>2025</v>
      </c>
      <c r="M2280" s="8" t="s">
        <v>13012</v>
      </c>
      <c r="N2280" s="8" t="s">
        <v>54</v>
      </c>
      <c r="O2280" s="8" t="s">
        <v>55</v>
      </c>
      <c r="P2280" s="6" t="s">
        <v>44</v>
      </c>
      <c r="Q2280" s="8" t="s">
        <v>45</v>
      </c>
      <c r="R2280" s="10" t="s">
        <v>13013</v>
      </c>
      <c r="S2280" s="11"/>
      <c r="T2280" s="6"/>
      <c r="U2280" s="24" t="str">
        <f>HYPERLINK("https://media.infra-m.ru/2196/2196122/cover/2196122.jpg", "Обложка")</f>
        <v>Обложка</v>
      </c>
      <c r="V2280" s="24" t="str">
        <f>HYPERLINK("https://znanium.ru/catalog/product/1003012", "Ознакомиться")</f>
        <v>Ознакомиться</v>
      </c>
      <c r="W2280" s="8" t="s">
        <v>305</v>
      </c>
      <c r="X2280" s="6"/>
      <c r="Y2280" s="6"/>
      <c r="Z2280" s="6"/>
      <c r="AA2280" s="6" t="s">
        <v>369</v>
      </c>
      <c r="AB2280" s="8"/>
    </row>
    <row r="2281" spans="1:28" s="4" customFormat="1" ht="42" customHeight="1">
      <c r="A2281" s="5">
        <v>0</v>
      </c>
      <c r="B2281" s="6" t="s">
        <v>13014</v>
      </c>
      <c r="C2281" s="13">
        <v>588</v>
      </c>
      <c r="D2281" s="8" t="s">
        <v>13015</v>
      </c>
      <c r="E2281" s="8" t="s">
        <v>13016</v>
      </c>
      <c r="F2281" s="8" t="s">
        <v>13017</v>
      </c>
      <c r="G2281" s="6" t="s">
        <v>38</v>
      </c>
      <c r="H2281" s="6" t="s">
        <v>39</v>
      </c>
      <c r="I2281" s="8" t="s">
        <v>40</v>
      </c>
      <c r="J2281" s="9">
        <v>1</v>
      </c>
      <c r="K2281" s="9">
        <v>144</v>
      </c>
      <c r="L2281" s="9">
        <v>2020</v>
      </c>
      <c r="M2281" s="8" t="s">
        <v>13018</v>
      </c>
      <c r="N2281" s="8" t="s">
        <v>54</v>
      </c>
      <c r="O2281" s="8" t="s">
        <v>55</v>
      </c>
      <c r="P2281" s="6" t="s">
        <v>44</v>
      </c>
      <c r="Q2281" s="8" t="s">
        <v>45</v>
      </c>
      <c r="R2281" s="10" t="s">
        <v>13019</v>
      </c>
      <c r="S2281" s="11"/>
      <c r="T2281" s="6"/>
      <c r="U2281" s="24" t="str">
        <f>HYPERLINK("https://media.infra-m.ru/1036/1036520/cover/1036520.jpg", "Обложка")</f>
        <v>Обложка</v>
      </c>
      <c r="V2281" s="24" t="str">
        <f>HYPERLINK("https://znanium.ru/catalog/product/1036520", "Ознакомиться")</f>
        <v>Ознакомиться</v>
      </c>
      <c r="W2281" s="8" t="s">
        <v>817</v>
      </c>
      <c r="X2281" s="6"/>
      <c r="Y2281" s="6"/>
      <c r="Z2281" s="6"/>
      <c r="AA2281" s="6" t="s">
        <v>48</v>
      </c>
      <c r="AB2281" s="8"/>
    </row>
    <row r="2282" spans="1:28" s="4" customFormat="1" ht="44.1" customHeight="1">
      <c r="A2282" s="5">
        <v>0</v>
      </c>
      <c r="B2282" s="6" t="s">
        <v>13020</v>
      </c>
      <c r="C2282" s="13">
        <v>677.9</v>
      </c>
      <c r="D2282" s="8" t="s">
        <v>13021</v>
      </c>
      <c r="E2282" s="8" t="s">
        <v>13022</v>
      </c>
      <c r="F2282" s="8" t="s">
        <v>13023</v>
      </c>
      <c r="G2282" s="6" t="s">
        <v>38</v>
      </c>
      <c r="H2282" s="6" t="s">
        <v>1019</v>
      </c>
      <c r="I2282" s="8" t="s">
        <v>1020</v>
      </c>
      <c r="J2282" s="9">
        <v>1</v>
      </c>
      <c r="K2282" s="9">
        <v>166</v>
      </c>
      <c r="L2282" s="9">
        <v>2019</v>
      </c>
      <c r="M2282" s="8" t="s">
        <v>13024</v>
      </c>
      <c r="N2282" s="8" t="s">
        <v>220</v>
      </c>
      <c r="O2282" s="8" t="s">
        <v>1250</v>
      </c>
      <c r="P2282" s="6" t="s">
        <v>44</v>
      </c>
      <c r="Q2282" s="8" t="s">
        <v>45</v>
      </c>
      <c r="R2282" s="10" t="s">
        <v>13025</v>
      </c>
      <c r="S2282" s="11"/>
      <c r="T2282" s="6"/>
      <c r="U2282" s="24" t="str">
        <f>HYPERLINK("https://media.infra-m.ru/1010/1010018/cover/1010018.jpg", "Обложка")</f>
        <v>Обложка</v>
      </c>
      <c r="V2282" s="24" t="str">
        <f>HYPERLINK("https://znanium.ru/catalog/product/1010018", "Ознакомиться")</f>
        <v>Ознакомиться</v>
      </c>
      <c r="W2282" s="8" t="s">
        <v>13026</v>
      </c>
      <c r="X2282" s="6"/>
      <c r="Y2282" s="6"/>
      <c r="Z2282" s="6"/>
      <c r="AA2282" s="6" t="s">
        <v>377</v>
      </c>
      <c r="AB2282" s="8"/>
    </row>
    <row r="2283" spans="1:28" s="4" customFormat="1" ht="44.1" customHeight="1">
      <c r="A2283" s="5">
        <v>0</v>
      </c>
      <c r="B2283" s="6" t="s">
        <v>13027</v>
      </c>
      <c r="C2283" s="13">
        <v>936</v>
      </c>
      <c r="D2283" s="8" t="s">
        <v>13028</v>
      </c>
      <c r="E2283" s="8" t="s">
        <v>13029</v>
      </c>
      <c r="F2283" s="8" t="s">
        <v>13030</v>
      </c>
      <c r="G2283" s="6" t="s">
        <v>38</v>
      </c>
      <c r="H2283" s="6" t="s">
        <v>39</v>
      </c>
      <c r="I2283" s="8" t="s">
        <v>344</v>
      </c>
      <c r="J2283" s="9">
        <v>1</v>
      </c>
      <c r="K2283" s="9">
        <v>150</v>
      </c>
      <c r="L2283" s="9">
        <v>2026</v>
      </c>
      <c r="M2283" s="8" t="s">
        <v>13031</v>
      </c>
      <c r="N2283" s="8" t="s">
        <v>284</v>
      </c>
      <c r="O2283" s="8" t="s">
        <v>328</v>
      </c>
      <c r="P2283" s="6" t="s">
        <v>44</v>
      </c>
      <c r="Q2283" s="8" t="s">
        <v>45</v>
      </c>
      <c r="R2283" s="10" t="s">
        <v>13032</v>
      </c>
      <c r="S2283" s="11"/>
      <c r="T2283" s="6"/>
      <c r="U2283" s="24" t="str">
        <f>HYPERLINK("https://media.infra-m.ru/2222/2222975/cover/2222975.jpg", "Обложка")</f>
        <v>Обложка</v>
      </c>
      <c r="V2283" s="12"/>
      <c r="W2283" s="8" t="s">
        <v>346</v>
      </c>
      <c r="X2283" s="6"/>
      <c r="Y2283" s="6"/>
      <c r="Z2283" s="6"/>
      <c r="AA2283" s="6" t="s">
        <v>68</v>
      </c>
      <c r="AB2283" s="8"/>
    </row>
    <row r="2284" spans="1:28" s="4" customFormat="1" ht="51.95" customHeight="1">
      <c r="A2284" s="5">
        <v>0</v>
      </c>
      <c r="B2284" s="6" t="s">
        <v>13033</v>
      </c>
      <c r="C2284" s="7">
        <v>1781.9</v>
      </c>
      <c r="D2284" s="8" t="s">
        <v>13034</v>
      </c>
      <c r="E2284" s="8" t="s">
        <v>13035</v>
      </c>
      <c r="F2284" s="8" t="s">
        <v>13036</v>
      </c>
      <c r="G2284" s="6" t="s">
        <v>132</v>
      </c>
      <c r="H2284" s="6" t="s">
        <v>99</v>
      </c>
      <c r="I2284" s="8"/>
      <c r="J2284" s="9">
        <v>1</v>
      </c>
      <c r="K2284" s="9">
        <v>360</v>
      </c>
      <c r="L2284" s="9">
        <v>2021</v>
      </c>
      <c r="M2284" s="8" t="s">
        <v>13037</v>
      </c>
      <c r="N2284" s="8" t="s">
        <v>42</v>
      </c>
      <c r="O2284" s="8" t="s">
        <v>101</v>
      </c>
      <c r="P2284" s="6" t="s">
        <v>44</v>
      </c>
      <c r="Q2284" s="8"/>
      <c r="R2284" s="10" t="s">
        <v>13038</v>
      </c>
      <c r="S2284" s="11"/>
      <c r="T2284" s="6"/>
      <c r="U2284" s="24" t="str">
        <f>HYPERLINK("https://media.infra-m.ru/1720/1720087/cover/1720087.jpg", "Обложка")</f>
        <v>Обложка</v>
      </c>
      <c r="V2284" s="24" t="str">
        <f>HYPERLINK("https://znanium.ru/catalog/product/1234622", "Ознакомиться")</f>
        <v>Ознакомиться</v>
      </c>
      <c r="W2284" s="8" t="s">
        <v>3378</v>
      </c>
      <c r="X2284" s="6"/>
      <c r="Y2284" s="6"/>
      <c r="Z2284" s="6"/>
      <c r="AA2284" s="6" t="s">
        <v>199</v>
      </c>
      <c r="AB2284" s="8"/>
    </row>
    <row r="2285" spans="1:28" s="4" customFormat="1" ht="44.1" customHeight="1">
      <c r="A2285" s="5">
        <v>0</v>
      </c>
      <c r="B2285" s="6" t="s">
        <v>13039</v>
      </c>
      <c r="C2285" s="13">
        <v>792</v>
      </c>
      <c r="D2285" s="8" t="s">
        <v>13040</v>
      </c>
      <c r="E2285" s="8" t="s">
        <v>13041</v>
      </c>
      <c r="F2285" s="8" t="s">
        <v>13042</v>
      </c>
      <c r="G2285" s="6" t="s">
        <v>38</v>
      </c>
      <c r="H2285" s="6" t="s">
        <v>39</v>
      </c>
      <c r="I2285" s="8" t="s">
        <v>344</v>
      </c>
      <c r="J2285" s="9">
        <v>1</v>
      </c>
      <c r="K2285" s="9">
        <v>168</v>
      </c>
      <c r="L2285" s="9">
        <v>2022</v>
      </c>
      <c r="M2285" s="8" t="s">
        <v>13043</v>
      </c>
      <c r="N2285" s="8" t="s">
        <v>42</v>
      </c>
      <c r="O2285" s="8" t="s">
        <v>246</v>
      </c>
      <c r="P2285" s="6" t="s">
        <v>44</v>
      </c>
      <c r="Q2285" s="8" t="s">
        <v>45</v>
      </c>
      <c r="R2285" s="10" t="s">
        <v>2956</v>
      </c>
      <c r="S2285" s="11"/>
      <c r="T2285" s="6"/>
      <c r="U2285" s="24" t="str">
        <f>HYPERLINK("https://media.infra-m.ru/1839/1839457/cover/1839457.jpg", "Обложка")</f>
        <v>Обложка</v>
      </c>
      <c r="V2285" s="12"/>
      <c r="W2285" s="8" t="s">
        <v>346</v>
      </c>
      <c r="X2285" s="6"/>
      <c r="Y2285" s="6"/>
      <c r="Z2285" s="6"/>
      <c r="AA2285" s="6" t="s">
        <v>68</v>
      </c>
      <c r="AB2285" s="8"/>
    </row>
    <row r="2286" spans="1:28" s="4" customFormat="1" ht="42" customHeight="1">
      <c r="A2286" s="5">
        <v>0</v>
      </c>
      <c r="B2286" s="6" t="s">
        <v>13044</v>
      </c>
      <c r="C2286" s="7">
        <v>1332</v>
      </c>
      <c r="D2286" s="8" t="s">
        <v>13045</v>
      </c>
      <c r="E2286" s="8" t="s">
        <v>13046</v>
      </c>
      <c r="F2286" s="8" t="s">
        <v>1585</v>
      </c>
      <c r="G2286" s="6" t="s">
        <v>81</v>
      </c>
      <c r="H2286" s="6" t="s">
        <v>99</v>
      </c>
      <c r="I2286" s="8"/>
      <c r="J2286" s="9">
        <v>1</v>
      </c>
      <c r="K2286" s="9">
        <v>208</v>
      </c>
      <c r="L2286" s="9">
        <v>2026</v>
      </c>
      <c r="M2286" s="8" t="s">
        <v>13047</v>
      </c>
      <c r="N2286" s="8" t="s">
        <v>42</v>
      </c>
      <c r="O2286" s="8" t="s">
        <v>101</v>
      </c>
      <c r="P2286" s="6" t="s">
        <v>44</v>
      </c>
      <c r="Q2286" s="8" t="s">
        <v>45</v>
      </c>
      <c r="R2286" s="10" t="s">
        <v>1765</v>
      </c>
      <c r="S2286" s="11"/>
      <c r="T2286" s="6"/>
      <c r="U2286" s="24" t="str">
        <f>HYPERLINK("https://media.infra-m.ru/2221/2221657/cover/2221657.jpg", "Обложка")</f>
        <v>Обложка</v>
      </c>
      <c r="V2286" s="24" t="str">
        <f>HYPERLINK("https://znanium.ru/catalog/product/2221657", "Ознакомиться")</f>
        <v>Ознакомиться</v>
      </c>
      <c r="W2286" s="8" t="s">
        <v>565</v>
      </c>
      <c r="X2286" s="6"/>
      <c r="Y2286" s="6"/>
      <c r="Z2286" s="6"/>
      <c r="AA2286" s="6" t="s">
        <v>369</v>
      </c>
      <c r="AB2286" s="8"/>
    </row>
    <row r="2287" spans="1:28" s="4" customFormat="1" ht="51.95" customHeight="1">
      <c r="A2287" s="5">
        <v>0</v>
      </c>
      <c r="B2287" s="6" t="s">
        <v>13048</v>
      </c>
      <c r="C2287" s="7">
        <v>1476</v>
      </c>
      <c r="D2287" s="8" t="s">
        <v>13049</v>
      </c>
      <c r="E2287" s="8" t="s">
        <v>13050</v>
      </c>
      <c r="F2287" s="8" t="s">
        <v>13051</v>
      </c>
      <c r="G2287" s="6" t="s">
        <v>38</v>
      </c>
      <c r="H2287" s="6" t="s">
        <v>39</v>
      </c>
      <c r="I2287" s="8" t="s">
        <v>40</v>
      </c>
      <c r="J2287" s="9">
        <v>1</v>
      </c>
      <c r="K2287" s="9">
        <v>218</v>
      </c>
      <c r="L2287" s="9">
        <v>2025</v>
      </c>
      <c r="M2287" s="8" t="s">
        <v>13052</v>
      </c>
      <c r="N2287" s="8" t="s">
        <v>42</v>
      </c>
      <c r="O2287" s="8" t="s">
        <v>101</v>
      </c>
      <c r="P2287" s="6" t="s">
        <v>44</v>
      </c>
      <c r="Q2287" s="8" t="s">
        <v>45</v>
      </c>
      <c r="R2287" s="10" t="s">
        <v>390</v>
      </c>
      <c r="S2287" s="11"/>
      <c r="T2287" s="6"/>
      <c r="U2287" s="24" t="str">
        <f>HYPERLINK("https://media.infra-m.ru/2174/2174818/cover/2174818.jpg", "Обложка")</f>
        <v>Обложка</v>
      </c>
      <c r="V2287" s="24" t="str">
        <f>HYPERLINK("https://znanium.ru/catalog/product/2174818", "Ознакомиться")</f>
        <v>Ознакомиться</v>
      </c>
      <c r="W2287" s="8" t="s">
        <v>10822</v>
      </c>
      <c r="X2287" s="6" t="s">
        <v>306</v>
      </c>
      <c r="Y2287" s="6"/>
      <c r="Z2287" s="6"/>
      <c r="AA2287" s="6" t="s">
        <v>159</v>
      </c>
      <c r="AB2287" s="8"/>
    </row>
    <row r="2288" spans="1:28" s="4" customFormat="1" ht="51.95" customHeight="1">
      <c r="A2288" s="5">
        <v>0</v>
      </c>
      <c r="B2288" s="6" t="s">
        <v>13053</v>
      </c>
      <c r="C2288" s="7">
        <v>2124</v>
      </c>
      <c r="D2288" s="8" t="s">
        <v>13054</v>
      </c>
      <c r="E2288" s="8" t="s">
        <v>13055</v>
      </c>
      <c r="F2288" s="8" t="s">
        <v>13056</v>
      </c>
      <c r="G2288" s="6" t="s">
        <v>81</v>
      </c>
      <c r="H2288" s="6" t="s">
        <v>39</v>
      </c>
      <c r="I2288" s="8" t="s">
        <v>40</v>
      </c>
      <c r="J2288" s="9">
        <v>1</v>
      </c>
      <c r="K2288" s="9">
        <v>465</v>
      </c>
      <c r="L2288" s="9">
        <v>2022</v>
      </c>
      <c r="M2288" s="8" t="s">
        <v>13057</v>
      </c>
      <c r="N2288" s="8" t="s">
        <v>42</v>
      </c>
      <c r="O2288" s="8" t="s">
        <v>101</v>
      </c>
      <c r="P2288" s="6" t="s">
        <v>44</v>
      </c>
      <c r="Q2288" s="8" t="s">
        <v>45</v>
      </c>
      <c r="R2288" s="10" t="s">
        <v>13058</v>
      </c>
      <c r="S2288" s="11"/>
      <c r="T2288" s="6"/>
      <c r="U2288" s="24" t="str">
        <f>HYPERLINK("https://media.infra-m.ru/1689/1689649/cover/1689649.jpg", "Обложка")</f>
        <v>Обложка</v>
      </c>
      <c r="V2288" s="24" t="str">
        <f>HYPERLINK("https://znanium.ru/catalog/product/1689649", "Ознакомиться")</f>
        <v>Ознакомиться</v>
      </c>
      <c r="W2288" s="8" t="s">
        <v>601</v>
      </c>
      <c r="X2288" s="6"/>
      <c r="Y2288" s="6"/>
      <c r="Z2288" s="6"/>
      <c r="AA2288" s="6" t="s">
        <v>76</v>
      </c>
      <c r="AB2288" s="8"/>
    </row>
    <row r="2289" spans="1:28" s="4" customFormat="1" ht="44.1" customHeight="1">
      <c r="A2289" s="5">
        <v>0</v>
      </c>
      <c r="B2289" s="6" t="s">
        <v>13059</v>
      </c>
      <c r="C2289" s="7">
        <v>1073.9000000000001</v>
      </c>
      <c r="D2289" s="8" t="s">
        <v>13060</v>
      </c>
      <c r="E2289" s="8" t="s">
        <v>13061</v>
      </c>
      <c r="F2289" s="8" t="s">
        <v>13062</v>
      </c>
      <c r="G2289" s="6" t="s">
        <v>38</v>
      </c>
      <c r="H2289" s="6" t="s">
        <v>39</v>
      </c>
      <c r="I2289" s="8" t="s">
        <v>40</v>
      </c>
      <c r="J2289" s="9">
        <v>1</v>
      </c>
      <c r="K2289" s="9">
        <v>199</v>
      </c>
      <c r="L2289" s="9">
        <v>2023</v>
      </c>
      <c r="M2289" s="8" t="s">
        <v>13063</v>
      </c>
      <c r="N2289" s="8" t="s">
        <v>42</v>
      </c>
      <c r="O2289" s="8" t="s">
        <v>101</v>
      </c>
      <c r="P2289" s="6" t="s">
        <v>44</v>
      </c>
      <c r="Q2289" s="8" t="s">
        <v>45</v>
      </c>
      <c r="R2289" s="10" t="s">
        <v>692</v>
      </c>
      <c r="S2289" s="11"/>
      <c r="T2289" s="6"/>
      <c r="U2289" s="24" t="str">
        <f>HYPERLINK("https://media.infra-m.ru/1902/1902917/cover/1902917.jpg", "Обложка")</f>
        <v>Обложка</v>
      </c>
      <c r="V2289" s="12"/>
      <c r="W2289" s="8" t="s">
        <v>75</v>
      </c>
      <c r="X2289" s="6"/>
      <c r="Y2289" s="6"/>
      <c r="Z2289" s="6"/>
      <c r="AA2289" s="6" t="s">
        <v>48</v>
      </c>
      <c r="AB2289" s="8"/>
    </row>
    <row r="2290" spans="1:28" s="4" customFormat="1" ht="51.95" customHeight="1">
      <c r="A2290" s="5">
        <v>0</v>
      </c>
      <c r="B2290" s="6" t="s">
        <v>13064</v>
      </c>
      <c r="C2290" s="7">
        <v>1224</v>
      </c>
      <c r="D2290" s="8" t="s">
        <v>13065</v>
      </c>
      <c r="E2290" s="8" t="s">
        <v>13066</v>
      </c>
      <c r="F2290" s="8" t="s">
        <v>13056</v>
      </c>
      <c r="G2290" s="6" t="s">
        <v>38</v>
      </c>
      <c r="H2290" s="6" t="s">
        <v>39</v>
      </c>
      <c r="I2290" s="8" t="s">
        <v>40</v>
      </c>
      <c r="J2290" s="9">
        <v>1</v>
      </c>
      <c r="K2290" s="9">
        <v>217</v>
      </c>
      <c r="L2290" s="9">
        <v>2024</v>
      </c>
      <c r="M2290" s="8" t="s">
        <v>13067</v>
      </c>
      <c r="N2290" s="8" t="s">
        <v>42</v>
      </c>
      <c r="O2290" s="8" t="s">
        <v>101</v>
      </c>
      <c r="P2290" s="6" t="s">
        <v>44</v>
      </c>
      <c r="Q2290" s="8" t="s">
        <v>45</v>
      </c>
      <c r="R2290" s="10" t="s">
        <v>680</v>
      </c>
      <c r="S2290" s="11"/>
      <c r="T2290" s="6"/>
      <c r="U2290" s="24" t="str">
        <f>HYPERLINK("https://media.infra-m.ru/2139/2139780/cover/2139780.jpg", "Обложка")</f>
        <v>Обложка</v>
      </c>
      <c r="V2290" s="24" t="str">
        <f>HYPERLINK("https://znanium.ru/catalog/product/2139780", "Ознакомиться")</f>
        <v>Ознакомиться</v>
      </c>
      <c r="W2290" s="8" t="s">
        <v>601</v>
      </c>
      <c r="X2290" s="6"/>
      <c r="Y2290" s="6"/>
      <c r="Z2290" s="6"/>
      <c r="AA2290" s="6" t="s">
        <v>76</v>
      </c>
      <c r="AB2290" s="8"/>
    </row>
    <row r="2291" spans="1:28" s="4" customFormat="1" ht="51.95" customHeight="1">
      <c r="A2291" s="5">
        <v>0</v>
      </c>
      <c r="B2291" s="6" t="s">
        <v>13068</v>
      </c>
      <c r="C2291" s="7">
        <v>2260.8000000000002</v>
      </c>
      <c r="D2291" s="8" t="s">
        <v>13069</v>
      </c>
      <c r="E2291" s="8" t="s">
        <v>13070</v>
      </c>
      <c r="F2291" s="8" t="s">
        <v>13071</v>
      </c>
      <c r="G2291" s="6" t="s">
        <v>132</v>
      </c>
      <c r="H2291" s="6" t="s">
        <v>326</v>
      </c>
      <c r="I2291" s="8"/>
      <c r="J2291" s="9">
        <v>1</v>
      </c>
      <c r="K2291" s="9">
        <v>400</v>
      </c>
      <c r="L2291" s="9">
        <v>2024</v>
      </c>
      <c r="M2291" s="8" t="s">
        <v>13072</v>
      </c>
      <c r="N2291" s="8" t="s">
        <v>42</v>
      </c>
      <c r="O2291" s="8" t="s">
        <v>101</v>
      </c>
      <c r="P2291" s="6" t="s">
        <v>2307</v>
      </c>
      <c r="Q2291" s="8" t="s">
        <v>45</v>
      </c>
      <c r="R2291" s="10" t="s">
        <v>13073</v>
      </c>
      <c r="S2291" s="11"/>
      <c r="T2291" s="6"/>
      <c r="U2291" s="24" t="str">
        <f>HYPERLINK("https://media.infra-m.ru/2131/2131621/cover/2131621.jpg", "Обложка")</f>
        <v>Обложка</v>
      </c>
      <c r="V2291" s="12"/>
      <c r="W2291" s="8" t="s">
        <v>1529</v>
      </c>
      <c r="X2291" s="6"/>
      <c r="Y2291" s="6"/>
      <c r="Z2291" s="6"/>
      <c r="AA2291" s="6" t="s">
        <v>48</v>
      </c>
      <c r="AB2291" s="8"/>
    </row>
    <row r="2292" spans="1:28" s="4" customFormat="1" ht="44.1" customHeight="1">
      <c r="A2292" s="5">
        <v>0</v>
      </c>
      <c r="B2292" s="6" t="s">
        <v>13074</v>
      </c>
      <c r="C2292" s="7">
        <v>1668</v>
      </c>
      <c r="D2292" s="8" t="s">
        <v>13075</v>
      </c>
      <c r="E2292" s="8" t="s">
        <v>13076</v>
      </c>
      <c r="F2292" s="8" t="s">
        <v>13077</v>
      </c>
      <c r="G2292" s="6" t="s">
        <v>38</v>
      </c>
      <c r="H2292" s="6" t="s">
        <v>39</v>
      </c>
      <c r="I2292" s="8" t="s">
        <v>40</v>
      </c>
      <c r="J2292" s="9">
        <v>1</v>
      </c>
      <c r="K2292" s="9">
        <v>297</v>
      </c>
      <c r="L2292" s="9">
        <v>2023</v>
      </c>
      <c r="M2292" s="8" t="s">
        <v>13078</v>
      </c>
      <c r="N2292" s="8" t="s">
        <v>284</v>
      </c>
      <c r="O2292" s="8" t="s">
        <v>312</v>
      </c>
      <c r="P2292" s="6" t="s">
        <v>44</v>
      </c>
      <c r="Q2292" s="8" t="s">
        <v>45</v>
      </c>
      <c r="R2292" s="10" t="s">
        <v>13079</v>
      </c>
      <c r="S2292" s="11"/>
      <c r="T2292" s="6"/>
      <c r="U2292" s="24" t="str">
        <f>HYPERLINK("https://media.infra-m.ru/1873/1873862/cover/1873862.jpg", "Обложка")</f>
        <v>Обложка</v>
      </c>
      <c r="V2292" s="24" t="str">
        <f>HYPERLINK("https://znanium.ru/catalog/product/1873862", "Ознакомиться")</f>
        <v>Ознакомиться</v>
      </c>
      <c r="W2292" s="8"/>
      <c r="X2292" s="6"/>
      <c r="Y2292" s="6"/>
      <c r="Z2292" s="6"/>
      <c r="AA2292" s="6" t="s">
        <v>119</v>
      </c>
      <c r="AB2292" s="8" t="s">
        <v>1697</v>
      </c>
    </row>
    <row r="2293" spans="1:28" s="4" customFormat="1" ht="44.1" customHeight="1">
      <c r="A2293" s="5">
        <v>0</v>
      </c>
      <c r="B2293" s="6" t="s">
        <v>13080</v>
      </c>
      <c r="C2293" s="7">
        <v>2232</v>
      </c>
      <c r="D2293" s="8" t="s">
        <v>13081</v>
      </c>
      <c r="E2293" s="8" t="s">
        <v>13082</v>
      </c>
      <c r="F2293" s="8" t="s">
        <v>13083</v>
      </c>
      <c r="G2293" s="6" t="s">
        <v>38</v>
      </c>
      <c r="H2293" s="6" t="s">
        <v>39</v>
      </c>
      <c r="I2293" s="8" t="s">
        <v>40</v>
      </c>
      <c r="J2293" s="9">
        <v>1</v>
      </c>
      <c r="K2293" s="9">
        <v>358</v>
      </c>
      <c r="L2293" s="9">
        <v>2026</v>
      </c>
      <c r="M2293" s="8" t="s">
        <v>13084</v>
      </c>
      <c r="N2293" s="8" t="s">
        <v>284</v>
      </c>
      <c r="O2293" s="8" t="s">
        <v>328</v>
      </c>
      <c r="P2293" s="6" t="s">
        <v>44</v>
      </c>
      <c r="Q2293" s="8" t="s">
        <v>45</v>
      </c>
      <c r="R2293" s="10" t="s">
        <v>13085</v>
      </c>
      <c r="S2293" s="11"/>
      <c r="T2293" s="6"/>
      <c r="U2293" s="24" t="str">
        <f>HYPERLINK("https://media.infra-m.ru/2221/2221951/cover/2221951.jpg", "Обложка")</f>
        <v>Обложка</v>
      </c>
      <c r="V2293" s="24" t="str">
        <f>HYPERLINK("https://znanium.ru/catalog/product/2221951", "Ознакомиться")</f>
        <v>Ознакомиться</v>
      </c>
      <c r="W2293" s="8" t="s">
        <v>791</v>
      </c>
      <c r="X2293" s="6"/>
      <c r="Y2293" s="6"/>
      <c r="Z2293" s="6"/>
      <c r="AA2293" s="6" t="s">
        <v>177</v>
      </c>
      <c r="AB2293" s="8"/>
    </row>
    <row r="2294" spans="1:28" s="4" customFormat="1" ht="42" customHeight="1">
      <c r="A2294" s="5">
        <v>0</v>
      </c>
      <c r="B2294" s="6" t="s">
        <v>13086</v>
      </c>
      <c r="C2294" s="7">
        <v>1392</v>
      </c>
      <c r="D2294" s="8" t="s">
        <v>13087</v>
      </c>
      <c r="E2294" s="8" t="s">
        <v>13088</v>
      </c>
      <c r="F2294" s="8" t="s">
        <v>4526</v>
      </c>
      <c r="G2294" s="6" t="s">
        <v>132</v>
      </c>
      <c r="H2294" s="6" t="s">
        <v>39</v>
      </c>
      <c r="I2294" s="8" t="s">
        <v>40</v>
      </c>
      <c r="J2294" s="9">
        <v>1</v>
      </c>
      <c r="K2294" s="9">
        <v>239</v>
      </c>
      <c r="L2294" s="9">
        <v>2024</v>
      </c>
      <c r="M2294" s="8" t="s">
        <v>13089</v>
      </c>
      <c r="N2294" s="8" t="s">
        <v>284</v>
      </c>
      <c r="O2294" s="8" t="s">
        <v>2265</v>
      </c>
      <c r="P2294" s="6" t="s">
        <v>44</v>
      </c>
      <c r="Q2294" s="8" t="s">
        <v>45</v>
      </c>
      <c r="R2294" s="10" t="s">
        <v>13090</v>
      </c>
      <c r="S2294" s="11"/>
      <c r="T2294" s="6"/>
      <c r="U2294" s="24" t="str">
        <f>HYPERLINK("https://media.infra-m.ru/2048/2048107/cover/2048107.jpg", "Обложка")</f>
        <v>Обложка</v>
      </c>
      <c r="V2294" s="24" t="str">
        <f>HYPERLINK("https://znanium.ru/catalog/product/2048107", "Ознакомиться")</f>
        <v>Ознакомиться</v>
      </c>
      <c r="W2294" s="8" t="s">
        <v>289</v>
      </c>
      <c r="X2294" s="6"/>
      <c r="Y2294" s="6"/>
      <c r="Z2294" s="6"/>
      <c r="AA2294" s="6" t="s">
        <v>58</v>
      </c>
      <c r="AB2294" s="8"/>
    </row>
    <row r="2295" spans="1:28" s="4" customFormat="1" ht="42" customHeight="1">
      <c r="A2295" s="5">
        <v>0</v>
      </c>
      <c r="B2295" s="6" t="s">
        <v>13091</v>
      </c>
      <c r="C2295" s="7">
        <v>1240.8</v>
      </c>
      <c r="D2295" s="8" t="s">
        <v>13092</v>
      </c>
      <c r="E2295" s="8" t="s">
        <v>13093</v>
      </c>
      <c r="F2295" s="8" t="s">
        <v>13094</v>
      </c>
      <c r="G2295" s="6" t="s">
        <v>38</v>
      </c>
      <c r="H2295" s="6" t="s">
        <v>39</v>
      </c>
      <c r="I2295" s="8"/>
      <c r="J2295" s="9">
        <v>1</v>
      </c>
      <c r="K2295" s="9">
        <v>224</v>
      </c>
      <c r="L2295" s="9">
        <v>2024</v>
      </c>
      <c r="M2295" s="8" t="s">
        <v>13095</v>
      </c>
      <c r="N2295" s="8" t="s">
        <v>42</v>
      </c>
      <c r="O2295" s="8" t="s">
        <v>246</v>
      </c>
      <c r="P2295" s="6" t="s">
        <v>44</v>
      </c>
      <c r="Q2295" s="8" t="s">
        <v>45</v>
      </c>
      <c r="R2295" s="10" t="s">
        <v>8084</v>
      </c>
      <c r="S2295" s="11"/>
      <c r="T2295" s="6"/>
      <c r="U2295" s="24" t="str">
        <f>HYPERLINK("https://media.infra-m.ru/2117/2117133/cover/2117133.jpg", "Обложка")</f>
        <v>Обложка</v>
      </c>
      <c r="V2295" s="24" t="str">
        <f>HYPERLINK("https://znanium.ru/catalog/product/1009299", "Ознакомиться")</f>
        <v>Ознакомиться</v>
      </c>
      <c r="W2295" s="8" t="s">
        <v>1049</v>
      </c>
      <c r="X2295" s="6"/>
      <c r="Y2295" s="6"/>
      <c r="Z2295" s="6"/>
      <c r="AA2295" s="6" t="s">
        <v>377</v>
      </c>
      <c r="AB2295" s="8"/>
    </row>
    <row r="2296" spans="1:28" s="4" customFormat="1" ht="42" customHeight="1">
      <c r="A2296" s="5">
        <v>0</v>
      </c>
      <c r="B2296" s="6" t="s">
        <v>13096</v>
      </c>
      <c r="C2296" s="7">
        <v>1812</v>
      </c>
      <c r="D2296" s="8" t="s">
        <v>13097</v>
      </c>
      <c r="E2296" s="8" t="s">
        <v>13098</v>
      </c>
      <c r="F2296" s="8" t="s">
        <v>13099</v>
      </c>
      <c r="G2296" s="6" t="s">
        <v>38</v>
      </c>
      <c r="H2296" s="6" t="s">
        <v>39</v>
      </c>
      <c r="I2296" s="8" t="s">
        <v>164</v>
      </c>
      <c r="J2296" s="9">
        <v>1</v>
      </c>
      <c r="K2296" s="9">
        <v>328</v>
      </c>
      <c r="L2296" s="9">
        <v>2023</v>
      </c>
      <c r="M2296" s="8" t="s">
        <v>13100</v>
      </c>
      <c r="N2296" s="8" t="s">
        <v>42</v>
      </c>
      <c r="O2296" s="8" t="s">
        <v>189</v>
      </c>
      <c r="P2296" s="6" t="s">
        <v>44</v>
      </c>
      <c r="Q2296" s="8" t="s">
        <v>45</v>
      </c>
      <c r="R2296" s="10" t="s">
        <v>13101</v>
      </c>
      <c r="S2296" s="11"/>
      <c r="T2296" s="6"/>
      <c r="U2296" s="24" t="str">
        <f>HYPERLINK("https://media.infra-m.ru/2029/2029823/cover/2029823.jpg", "Обложка")</f>
        <v>Обложка</v>
      </c>
      <c r="V2296" s="24" t="str">
        <f>HYPERLINK("https://znanium.ru/catalog/product/2029823", "Ознакомиться")</f>
        <v>Ознакомиться</v>
      </c>
      <c r="W2296" s="8" t="s">
        <v>167</v>
      </c>
      <c r="X2296" s="6"/>
      <c r="Y2296" s="6"/>
      <c r="Z2296" s="6"/>
      <c r="AA2296" s="6" t="s">
        <v>119</v>
      </c>
      <c r="AB2296" s="8"/>
    </row>
    <row r="2297" spans="1:28" s="4" customFormat="1" ht="44.1" customHeight="1">
      <c r="A2297" s="5">
        <v>0</v>
      </c>
      <c r="B2297" s="6" t="s">
        <v>13102</v>
      </c>
      <c r="C2297" s="7">
        <v>1168.8</v>
      </c>
      <c r="D2297" s="8" t="s">
        <v>13103</v>
      </c>
      <c r="E2297" s="8" t="s">
        <v>13104</v>
      </c>
      <c r="F2297" s="8" t="s">
        <v>13105</v>
      </c>
      <c r="G2297" s="6" t="s">
        <v>38</v>
      </c>
      <c r="H2297" s="6" t="s">
        <v>39</v>
      </c>
      <c r="I2297" s="8" t="s">
        <v>8745</v>
      </c>
      <c r="J2297" s="9">
        <v>1</v>
      </c>
      <c r="K2297" s="9">
        <v>206</v>
      </c>
      <c r="L2297" s="9">
        <v>2024</v>
      </c>
      <c r="M2297" s="8" t="s">
        <v>13106</v>
      </c>
      <c r="N2297" s="8" t="s">
        <v>284</v>
      </c>
      <c r="O2297" s="8" t="s">
        <v>1549</v>
      </c>
      <c r="P2297" s="6" t="s">
        <v>1057</v>
      </c>
      <c r="Q2297" s="8" t="s">
        <v>45</v>
      </c>
      <c r="R2297" s="10" t="s">
        <v>13107</v>
      </c>
      <c r="S2297" s="11"/>
      <c r="T2297" s="6"/>
      <c r="U2297" s="24" t="str">
        <f>HYPERLINK("https://media.infra-m.ru/2152/2152063/cover/2152063.jpg", "Обложка")</f>
        <v>Обложка</v>
      </c>
      <c r="V2297" s="24" t="str">
        <f>HYPERLINK("https://znanium.ru/catalog/product/1002710", "Ознакомиться")</f>
        <v>Ознакомиться</v>
      </c>
      <c r="W2297" s="8" t="s">
        <v>5554</v>
      </c>
      <c r="X2297" s="6"/>
      <c r="Y2297" s="6"/>
      <c r="Z2297" s="6"/>
      <c r="AA2297" s="6" t="s">
        <v>48</v>
      </c>
      <c r="AB2297" s="8"/>
    </row>
    <row r="2298" spans="1:28" s="4" customFormat="1" ht="42" customHeight="1">
      <c r="A2298" s="5">
        <v>0</v>
      </c>
      <c r="B2298" s="6" t="s">
        <v>13108</v>
      </c>
      <c r="C2298" s="7">
        <v>2148</v>
      </c>
      <c r="D2298" s="8" t="s">
        <v>13109</v>
      </c>
      <c r="E2298" s="8" t="s">
        <v>13110</v>
      </c>
      <c r="F2298" s="8" t="s">
        <v>13111</v>
      </c>
      <c r="G2298" s="6" t="s">
        <v>132</v>
      </c>
      <c r="H2298" s="6" t="s">
        <v>39</v>
      </c>
      <c r="I2298" s="8" t="s">
        <v>40</v>
      </c>
      <c r="J2298" s="9">
        <v>1</v>
      </c>
      <c r="K2298" s="9">
        <v>358</v>
      </c>
      <c r="L2298" s="9">
        <v>2025</v>
      </c>
      <c r="M2298" s="8" t="s">
        <v>13112</v>
      </c>
      <c r="N2298" s="8" t="s">
        <v>284</v>
      </c>
      <c r="O2298" s="8" t="s">
        <v>285</v>
      </c>
      <c r="P2298" s="6" t="s">
        <v>44</v>
      </c>
      <c r="Q2298" s="8" t="s">
        <v>45</v>
      </c>
      <c r="R2298" s="10" t="s">
        <v>13113</v>
      </c>
      <c r="S2298" s="11"/>
      <c r="T2298" s="6"/>
      <c r="U2298" s="24" t="str">
        <f>HYPERLINK("https://media.infra-m.ru/2098/2098998/cover/2098998.jpg", "Обложка")</f>
        <v>Обложка</v>
      </c>
      <c r="V2298" s="24" t="str">
        <f>HYPERLINK("https://znanium.ru/catalog/product/2098998", "Ознакомиться")</f>
        <v>Ознакомиться</v>
      </c>
      <c r="W2298" s="8" t="s">
        <v>13114</v>
      </c>
      <c r="X2298" s="6"/>
      <c r="Y2298" s="6"/>
      <c r="Z2298" s="6"/>
      <c r="AA2298" s="6" t="s">
        <v>159</v>
      </c>
      <c r="AB2298" s="8"/>
    </row>
    <row r="2299" spans="1:28" s="4" customFormat="1" ht="42" customHeight="1">
      <c r="A2299" s="5">
        <v>0</v>
      </c>
      <c r="B2299" s="6" t="s">
        <v>13115</v>
      </c>
      <c r="C2299" s="13">
        <v>472.8</v>
      </c>
      <c r="D2299" s="8" t="s">
        <v>13116</v>
      </c>
      <c r="E2299" s="8" t="s">
        <v>13117</v>
      </c>
      <c r="F2299" s="8" t="s">
        <v>13118</v>
      </c>
      <c r="G2299" s="6" t="s">
        <v>38</v>
      </c>
      <c r="H2299" s="6" t="s">
        <v>39</v>
      </c>
      <c r="I2299" s="8" t="s">
        <v>40</v>
      </c>
      <c r="J2299" s="9">
        <v>1</v>
      </c>
      <c r="K2299" s="9">
        <v>86</v>
      </c>
      <c r="L2299" s="9">
        <v>2024</v>
      </c>
      <c r="M2299" s="8" t="s">
        <v>13119</v>
      </c>
      <c r="N2299" s="8" t="s">
        <v>220</v>
      </c>
      <c r="O2299" s="8" t="s">
        <v>474</v>
      </c>
      <c r="P2299" s="6" t="s">
        <v>44</v>
      </c>
      <c r="Q2299" s="8" t="s">
        <v>45</v>
      </c>
      <c r="R2299" s="10" t="s">
        <v>13120</v>
      </c>
      <c r="S2299" s="11"/>
      <c r="T2299" s="6"/>
      <c r="U2299" s="24" t="str">
        <f>HYPERLINK("https://media.infra-m.ru/2117/2117159/cover/2117159.jpg", "Обложка")</f>
        <v>Обложка</v>
      </c>
      <c r="V2299" s="24" t="str">
        <f>HYPERLINK("https://znanium.ru/catalog/product/959936", "Ознакомиться")</f>
        <v>Ознакомиться</v>
      </c>
      <c r="W2299" s="8" t="s">
        <v>7970</v>
      </c>
      <c r="X2299" s="6"/>
      <c r="Y2299" s="6"/>
      <c r="Z2299" s="6"/>
      <c r="AA2299" s="6" t="s">
        <v>1530</v>
      </c>
      <c r="AB2299" s="8"/>
    </row>
    <row r="2300" spans="1:28" s="4" customFormat="1" ht="51.95" customHeight="1">
      <c r="A2300" s="5">
        <v>0</v>
      </c>
      <c r="B2300" s="6" t="s">
        <v>13121</v>
      </c>
      <c r="C2300" s="13">
        <v>828</v>
      </c>
      <c r="D2300" s="8" t="s">
        <v>13122</v>
      </c>
      <c r="E2300" s="8" t="s">
        <v>13123</v>
      </c>
      <c r="F2300" s="8" t="s">
        <v>13124</v>
      </c>
      <c r="G2300" s="6" t="s">
        <v>38</v>
      </c>
      <c r="H2300" s="6" t="s">
        <v>182</v>
      </c>
      <c r="I2300" s="8" t="s">
        <v>40</v>
      </c>
      <c r="J2300" s="9">
        <v>1</v>
      </c>
      <c r="K2300" s="9">
        <v>126</v>
      </c>
      <c r="L2300" s="9">
        <v>2026</v>
      </c>
      <c r="M2300" s="8" t="s">
        <v>13125</v>
      </c>
      <c r="N2300" s="8" t="s">
        <v>42</v>
      </c>
      <c r="O2300" s="8" t="s">
        <v>65</v>
      </c>
      <c r="P2300" s="6" t="s">
        <v>44</v>
      </c>
      <c r="Q2300" s="8" t="s">
        <v>45</v>
      </c>
      <c r="R2300" s="10" t="s">
        <v>13126</v>
      </c>
      <c r="S2300" s="11"/>
      <c r="T2300" s="6"/>
      <c r="U2300" s="24" t="str">
        <f>HYPERLINK("https://media.infra-m.ru/2224/2224065/cover/2224065.jpg", "Обложка")</f>
        <v>Обложка</v>
      </c>
      <c r="V2300" s="24" t="str">
        <f>HYPERLINK("https://znanium.ru/catalog/product/2224065", "Ознакомиться")</f>
        <v>Ознакомиться</v>
      </c>
      <c r="W2300" s="8" t="s">
        <v>6338</v>
      </c>
      <c r="X2300" s="6"/>
      <c r="Y2300" s="6"/>
      <c r="Z2300" s="6"/>
      <c r="AA2300" s="6" t="s">
        <v>2288</v>
      </c>
      <c r="AB2300" s="8"/>
    </row>
    <row r="2301" spans="1:28" s="4" customFormat="1" ht="42" customHeight="1">
      <c r="A2301" s="5">
        <v>0</v>
      </c>
      <c r="B2301" s="6" t="s">
        <v>13127</v>
      </c>
      <c r="C2301" s="7">
        <v>1164</v>
      </c>
      <c r="D2301" s="8" t="s">
        <v>13128</v>
      </c>
      <c r="E2301" s="8" t="s">
        <v>13129</v>
      </c>
      <c r="F2301" s="8" t="s">
        <v>13130</v>
      </c>
      <c r="G2301" s="6" t="s">
        <v>38</v>
      </c>
      <c r="H2301" s="6" t="s">
        <v>39</v>
      </c>
      <c r="I2301" s="8" t="s">
        <v>40</v>
      </c>
      <c r="J2301" s="9">
        <v>1</v>
      </c>
      <c r="K2301" s="9">
        <v>187</v>
      </c>
      <c r="L2301" s="9">
        <v>2024</v>
      </c>
      <c r="M2301" s="8" t="s">
        <v>13131</v>
      </c>
      <c r="N2301" s="8" t="s">
        <v>42</v>
      </c>
      <c r="O2301" s="8" t="s">
        <v>1035</v>
      </c>
      <c r="P2301" s="6" t="s">
        <v>44</v>
      </c>
      <c r="Q2301" s="8" t="s">
        <v>45</v>
      </c>
      <c r="R2301" s="10" t="s">
        <v>1426</v>
      </c>
      <c r="S2301" s="11"/>
      <c r="T2301" s="6"/>
      <c r="U2301" s="24" t="str">
        <f>HYPERLINK("https://media.infra-m.ru/2133/2133676/cover/2133676.jpg", "Обложка")</f>
        <v>Обложка</v>
      </c>
      <c r="V2301" s="24" t="str">
        <f>HYPERLINK("https://znanium.ru/catalog/product/2133676", "Ознакомиться")</f>
        <v>Ознакомиться</v>
      </c>
      <c r="W2301" s="8" t="s">
        <v>2080</v>
      </c>
      <c r="X2301" s="6"/>
      <c r="Y2301" s="6"/>
      <c r="Z2301" s="6"/>
      <c r="AA2301" s="6" t="s">
        <v>58</v>
      </c>
      <c r="AB2301" s="8"/>
    </row>
    <row r="2302" spans="1:28" s="4" customFormat="1" ht="42" customHeight="1">
      <c r="A2302" s="5">
        <v>0</v>
      </c>
      <c r="B2302" s="6" t="s">
        <v>13132</v>
      </c>
      <c r="C2302" s="13">
        <v>708</v>
      </c>
      <c r="D2302" s="8" t="s">
        <v>13133</v>
      </c>
      <c r="E2302" s="8" t="s">
        <v>13134</v>
      </c>
      <c r="F2302" s="8" t="s">
        <v>13135</v>
      </c>
      <c r="G2302" s="6" t="s">
        <v>38</v>
      </c>
      <c r="H2302" s="6" t="s">
        <v>39</v>
      </c>
      <c r="I2302" s="8" t="s">
        <v>40</v>
      </c>
      <c r="J2302" s="9">
        <v>1</v>
      </c>
      <c r="K2302" s="9">
        <v>151</v>
      </c>
      <c r="L2302" s="9">
        <v>2022</v>
      </c>
      <c r="M2302" s="8" t="s">
        <v>13136</v>
      </c>
      <c r="N2302" s="8" t="s">
        <v>42</v>
      </c>
      <c r="O2302" s="8" t="s">
        <v>246</v>
      </c>
      <c r="P2302" s="6" t="s">
        <v>44</v>
      </c>
      <c r="Q2302" s="8" t="s">
        <v>45</v>
      </c>
      <c r="R2302" s="10" t="s">
        <v>13137</v>
      </c>
      <c r="S2302" s="11"/>
      <c r="T2302" s="6"/>
      <c r="U2302" s="24" t="str">
        <f>HYPERLINK("https://media.infra-m.ru/1851/1851805/cover/1851805.jpg", "Обложка")</f>
        <v>Обложка</v>
      </c>
      <c r="V2302" s="24" t="str">
        <f>HYPERLINK("https://znanium.ru/catalog/product/1851805", "Ознакомиться")</f>
        <v>Ознакомиться</v>
      </c>
      <c r="W2302" s="8" t="s">
        <v>516</v>
      </c>
      <c r="X2302" s="6"/>
      <c r="Y2302" s="6"/>
      <c r="Z2302" s="6"/>
      <c r="AA2302" s="6" t="s">
        <v>76</v>
      </c>
      <c r="AB2302" s="8"/>
    </row>
    <row r="2303" spans="1:28" s="4" customFormat="1" ht="51.95" customHeight="1">
      <c r="A2303" s="5">
        <v>0</v>
      </c>
      <c r="B2303" s="6" t="s">
        <v>13138</v>
      </c>
      <c r="C2303" s="7">
        <v>2280</v>
      </c>
      <c r="D2303" s="8" t="s">
        <v>13139</v>
      </c>
      <c r="E2303" s="8" t="s">
        <v>13140</v>
      </c>
      <c r="F2303" s="8" t="s">
        <v>4526</v>
      </c>
      <c r="G2303" s="6" t="s">
        <v>132</v>
      </c>
      <c r="H2303" s="6" t="s">
        <v>39</v>
      </c>
      <c r="I2303" s="8" t="s">
        <v>40</v>
      </c>
      <c r="J2303" s="9">
        <v>1</v>
      </c>
      <c r="K2303" s="9">
        <v>362</v>
      </c>
      <c r="L2303" s="9">
        <v>2024</v>
      </c>
      <c r="M2303" s="8" t="s">
        <v>13141</v>
      </c>
      <c r="N2303" s="8" t="s">
        <v>284</v>
      </c>
      <c r="O2303" s="8" t="s">
        <v>2265</v>
      </c>
      <c r="P2303" s="6" t="s">
        <v>44</v>
      </c>
      <c r="Q2303" s="8" t="s">
        <v>45</v>
      </c>
      <c r="R2303" s="10" t="s">
        <v>13142</v>
      </c>
      <c r="S2303" s="11"/>
      <c r="T2303" s="6"/>
      <c r="U2303" s="24" t="str">
        <f>HYPERLINK("https://media.infra-m.ru/2137/2137625/cover/2137625.jpg", "Обложка")</f>
        <v>Обложка</v>
      </c>
      <c r="V2303" s="24" t="str">
        <f>HYPERLINK("https://znanium.ru/catalog/product/2137625", "Ознакомиться")</f>
        <v>Ознакомиться</v>
      </c>
      <c r="W2303" s="8" t="s">
        <v>289</v>
      </c>
      <c r="X2303" s="6"/>
      <c r="Y2303" s="6"/>
      <c r="Z2303" s="6"/>
      <c r="AA2303" s="6" t="s">
        <v>58</v>
      </c>
      <c r="AB2303" s="8"/>
    </row>
    <row r="2304" spans="1:28" s="4" customFormat="1" ht="44.1" customHeight="1">
      <c r="A2304" s="5">
        <v>0</v>
      </c>
      <c r="B2304" s="6" t="s">
        <v>13143</v>
      </c>
      <c r="C2304" s="7">
        <v>1296</v>
      </c>
      <c r="D2304" s="8" t="s">
        <v>13144</v>
      </c>
      <c r="E2304" s="8" t="s">
        <v>13145</v>
      </c>
      <c r="F2304" s="8" t="s">
        <v>13146</v>
      </c>
      <c r="G2304" s="6" t="s">
        <v>132</v>
      </c>
      <c r="H2304" s="6" t="s">
        <v>39</v>
      </c>
      <c r="I2304" s="8" t="s">
        <v>344</v>
      </c>
      <c r="J2304" s="9">
        <v>1</v>
      </c>
      <c r="K2304" s="9">
        <v>194</v>
      </c>
      <c r="L2304" s="9">
        <v>2026</v>
      </c>
      <c r="M2304" s="8" t="s">
        <v>13147</v>
      </c>
      <c r="N2304" s="8" t="s">
        <v>284</v>
      </c>
      <c r="O2304" s="8" t="s">
        <v>1549</v>
      </c>
      <c r="P2304" s="6" t="s">
        <v>44</v>
      </c>
      <c r="Q2304" s="8" t="s">
        <v>45</v>
      </c>
      <c r="R2304" s="10" t="s">
        <v>13148</v>
      </c>
      <c r="S2304" s="11"/>
      <c r="T2304" s="6"/>
      <c r="U2304" s="24" t="str">
        <f>HYPERLINK("https://media.infra-m.ru/2222/2222622/cover/2222622.jpg", "Обложка")</f>
        <v>Обложка</v>
      </c>
      <c r="V2304" s="12"/>
      <c r="W2304" s="8" t="s">
        <v>346</v>
      </c>
      <c r="X2304" s="6" t="s">
        <v>838</v>
      </c>
      <c r="Y2304" s="6"/>
      <c r="Z2304" s="6"/>
      <c r="AA2304" s="6" t="s">
        <v>833</v>
      </c>
      <c r="AB2304" s="8"/>
    </row>
    <row r="2305" spans="1:28" s="4" customFormat="1" ht="42" customHeight="1">
      <c r="A2305" s="5">
        <v>0</v>
      </c>
      <c r="B2305" s="6" t="s">
        <v>13149</v>
      </c>
      <c r="C2305" s="7">
        <v>1404</v>
      </c>
      <c r="D2305" s="8" t="s">
        <v>13150</v>
      </c>
      <c r="E2305" s="8" t="s">
        <v>13151</v>
      </c>
      <c r="F2305" s="8" t="s">
        <v>13152</v>
      </c>
      <c r="G2305" s="6" t="s">
        <v>38</v>
      </c>
      <c r="H2305" s="6" t="s">
        <v>39</v>
      </c>
      <c r="I2305" s="8" t="s">
        <v>40</v>
      </c>
      <c r="J2305" s="9">
        <v>1</v>
      </c>
      <c r="K2305" s="9">
        <v>194</v>
      </c>
      <c r="L2305" s="9">
        <v>2024</v>
      </c>
      <c r="M2305" s="8" t="s">
        <v>13153</v>
      </c>
      <c r="N2305" s="8" t="s">
        <v>284</v>
      </c>
      <c r="O2305" s="8" t="s">
        <v>2265</v>
      </c>
      <c r="P2305" s="6" t="s">
        <v>44</v>
      </c>
      <c r="Q2305" s="8" t="s">
        <v>45</v>
      </c>
      <c r="R2305" s="10" t="s">
        <v>8444</v>
      </c>
      <c r="S2305" s="11"/>
      <c r="T2305" s="6"/>
      <c r="U2305" s="24" t="str">
        <f>HYPERLINK("https://media.infra-m.ru/2085/2085120/cover/2085120.jpg", "Обложка")</f>
        <v>Обложка</v>
      </c>
      <c r="V2305" s="24" t="str">
        <f>HYPERLINK("https://znanium.ru/catalog/product/2085120", "Ознакомиться")</f>
        <v>Ознакомиться</v>
      </c>
      <c r="W2305" s="8" t="s">
        <v>2991</v>
      </c>
      <c r="X2305" s="6"/>
      <c r="Y2305" s="6"/>
      <c r="Z2305" s="6"/>
      <c r="AA2305" s="6" t="s">
        <v>58</v>
      </c>
      <c r="AB2305" s="8"/>
    </row>
    <row r="2306" spans="1:28" s="4" customFormat="1" ht="33" customHeight="1">
      <c r="A2306" s="5">
        <v>0</v>
      </c>
      <c r="B2306" s="6" t="s">
        <v>13154</v>
      </c>
      <c r="C2306" s="7">
        <v>2483.8000000000002</v>
      </c>
      <c r="D2306" s="8" t="s">
        <v>13155</v>
      </c>
      <c r="E2306" s="8" t="s">
        <v>13156</v>
      </c>
      <c r="F2306" s="8" t="s">
        <v>13157</v>
      </c>
      <c r="G2306" s="6" t="s">
        <v>132</v>
      </c>
      <c r="H2306" s="6" t="s">
        <v>39</v>
      </c>
      <c r="I2306" s="8"/>
      <c r="J2306" s="9">
        <v>1</v>
      </c>
      <c r="K2306" s="9">
        <v>850</v>
      </c>
      <c r="L2306" s="9">
        <v>2019</v>
      </c>
      <c r="M2306" s="8"/>
      <c r="N2306" s="8" t="s">
        <v>220</v>
      </c>
      <c r="O2306" s="8" t="s">
        <v>296</v>
      </c>
      <c r="P2306" s="6" t="s">
        <v>13158</v>
      </c>
      <c r="Q2306" s="8" t="s">
        <v>416</v>
      </c>
      <c r="R2306" s="10"/>
      <c r="S2306" s="11"/>
      <c r="T2306" s="6"/>
      <c r="U2306" s="12"/>
      <c r="V2306" s="12"/>
      <c r="W2306" s="8" t="s">
        <v>191</v>
      </c>
      <c r="X2306" s="6"/>
      <c r="Y2306" s="6"/>
      <c r="Z2306" s="6"/>
      <c r="AA2306" s="6" t="s">
        <v>76</v>
      </c>
      <c r="AB2306" s="8"/>
    </row>
    <row r="2307" spans="1:28" s="4" customFormat="1" ht="42" customHeight="1">
      <c r="A2307" s="5">
        <v>0</v>
      </c>
      <c r="B2307" s="6" t="s">
        <v>13159</v>
      </c>
      <c r="C2307" s="7">
        <v>2268</v>
      </c>
      <c r="D2307" s="8" t="s">
        <v>13160</v>
      </c>
      <c r="E2307" s="8" t="s">
        <v>13161</v>
      </c>
      <c r="F2307" s="8" t="s">
        <v>13162</v>
      </c>
      <c r="G2307" s="6" t="s">
        <v>132</v>
      </c>
      <c r="H2307" s="6" t="s">
        <v>39</v>
      </c>
      <c r="I2307" s="8" t="s">
        <v>40</v>
      </c>
      <c r="J2307" s="9">
        <v>1</v>
      </c>
      <c r="K2307" s="9">
        <v>409</v>
      </c>
      <c r="L2307" s="9">
        <v>2024</v>
      </c>
      <c r="M2307" s="8" t="s">
        <v>13163</v>
      </c>
      <c r="N2307" s="8" t="s">
        <v>284</v>
      </c>
      <c r="O2307" s="8" t="s">
        <v>285</v>
      </c>
      <c r="P2307" s="6" t="s">
        <v>44</v>
      </c>
      <c r="Q2307" s="8" t="s">
        <v>45</v>
      </c>
      <c r="R2307" s="10" t="s">
        <v>13164</v>
      </c>
      <c r="S2307" s="11"/>
      <c r="T2307" s="6"/>
      <c r="U2307" s="24" t="str">
        <f>HYPERLINK("https://media.infra-m.ru/2117/2117144/cover/2117144.jpg", "Обложка")</f>
        <v>Обложка</v>
      </c>
      <c r="V2307" s="24" t="str">
        <f>HYPERLINK("https://znanium.ru/catalog/product/2117144", "Ознакомиться")</f>
        <v>Ознакомиться</v>
      </c>
      <c r="W2307" s="8" t="s">
        <v>3955</v>
      </c>
      <c r="X2307" s="6"/>
      <c r="Y2307" s="6"/>
      <c r="Z2307" s="6"/>
      <c r="AA2307" s="6" t="s">
        <v>369</v>
      </c>
      <c r="AB2307" s="8"/>
    </row>
    <row r="2308" spans="1:28" s="4" customFormat="1" ht="42" customHeight="1">
      <c r="A2308" s="5">
        <v>0</v>
      </c>
      <c r="B2308" s="6" t="s">
        <v>13165</v>
      </c>
      <c r="C2308" s="7">
        <v>1116</v>
      </c>
      <c r="D2308" s="8" t="s">
        <v>13166</v>
      </c>
      <c r="E2308" s="8" t="s">
        <v>13167</v>
      </c>
      <c r="F2308" s="8" t="s">
        <v>13168</v>
      </c>
      <c r="G2308" s="6" t="s">
        <v>38</v>
      </c>
      <c r="H2308" s="6" t="s">
        <v>39</v>
      </c>
      <c r="I2308" s="8" t="s">
        <v>40</v>
      </c>
      <c r="J2308" s="9">
        <v>1</v>
      </c>
      <c r="K2308" s="9">
        <v>174</v>
      </c>
      <c r="L2308" s="9">
        <v>2026</v>
      </c>
      <c r="M2308" s="8" t="s">
        <v>13169</v>
      </c>
      <c r="N2308" s="8" t="s">
        <v>229</v>
      </c>
      <c r="O2308" s="8" t="s">
        <v>230</v>
      </c>
      <c r="P2308" s="6" t="s">
        <v>44</v>
      </c>
      <c r="Q2308" s="8" t="s">
        <v>45</v>
      </c>
      <c r="R2308" s="10" t="s">
        <v>13170</v>
      </c>
      <c r="S2308" s="11"/>
      <c r="T2308" s="6"/>
      <c r="U2308" s="24" t="str">
        <f>HYPERLINK("https://media.infra-m.ru/2221/2221664/cover/2221664.jpg", "Обложка")</f>
        <v>Обложка</v>
      </c>
      <c r="V2308" s="24" t="str">
        <f>HYPERLINK("https://znanium.ru/catalog/product/2221664", "Ознакомиться")</f>
        <v>Ознакомиться</v>
      </c>
      <c r="W2308" s="8" t="s">
        <v>1575</v>
      </c>
      <c r="X2308" s="6"/>
      <c r="Y2308" s="6"/>
      <c r="Z2308" s="6"/>
      <c r="AA2308" s="6" t="s">
        <v>199</v>
      </c>
      <c r="AB2308" s="8"/>
    </row>
    <row r="2309" spans="1:28" s="4" customFormat="1" ht="42" customHeight="1">
      <c r="A2309" s="5">
        <v>0</v>
      </c>
      <c r="B2309" s="6" t="s">
        <v>13171</v>
      </c>
      <c r="C2309" s="13">
        <v>624</v>
      </c>
      <c r="D2309" s="8" t="s">
        <v>13172</v>
      </c>
      <c r="E2309" s="8" t="s">
        <v>13173</v>
      </c>
      <c r="F2309" s="8" t="s">
        <v>13174</v>
      </c>
      <c r="G2309" s="6" t="s">
        <v>38</v>
      </c>
      <c r="H2309" s="6" t="s">
        <v>39</v>
      </c>
      <c r="I2309" s="8" t="s">
        <v>344</v>
      </c>
      <c r="J2309" s="9">
        <v>1</v>
      </c>
      <c r="K2309" s="9">
        <v>152</v>
      </c>
      <c r="L2309" s="9">
        <v>2019</v>
      </c>
      <c r="M2309" s="8" t="s">
        <v>13175</v>
      </c>
      <c r="N2309" s="8" t="s">
        <v>220</v>
      </c>
      <c r="O2309" s="8" t="s">
        <v>296</v>
      </c>
      <c r="P2309" s="6" t="s">
        <v>44</v>
      </c>
      <c r="Q2309" s="8" t="s">
        <v>45</v>
      </c>
      <c r="R2309" s="10"/>
      <c r="S2309" s="11"/>
      <c r="T2309" s="6"/>
      <c r="U2309" s="24" t="str">
        <f>HYPERLINK("https://media.infra-m.ru/0988/0988862/cover/988862.jpg", "Обложка")</f>
        <v>Обложка</v>
      </c>
      <c r="V2309" s="12"/>
      <c r="W2309" s="8" t="s">
        <v>346</v>
      </c>
      <c r="X2309" s="6"/>
      <c r="Y2309" s="6"/>
      <c r="Z2309" s="6"/>
      <c r="AA2309" s="6" t="s">
        <v>68</v>
      </c>
      <c r="AB2309" s="8"/>
    </row>
    <row r="2310" spans="1:28" s="4" customFormat="1" ht="42" customHeight="1">
      <c r="A2310" s="5">
        <v>0</v>
      </c>
      <c r="B2310" s="6" t="s">
        <v>13176</v>
      </c>
      <c r="C2310" s="13">
        <v>708</v>
      </c>
      <c r="D2310" s="8" t="s">
        <v>13177</v>
      </c>
      <c r="E2310" s="8" t="s">
        <v>13178</v>
      </c>
      <c r="F2310" s="8" t="s">
        <v>13179</v>
      </c>
      <c r="G2310" s="6" t="s">
        <v>38</v>
      </c>
      <c r="H2310" s="6" t="s">
        <v>39</v>
      </c>
      <c r="I2310" s="8" t="s">
        <v>344</v>
      </c>
      <c r="J2310" s="9">
        <v>1</v>
      </c>
      <c r="K2310" s="9">
        <v>127</v>
      </c>
      <c r="L2310" s="9">
        <v>2022</v>
      </c>
      <c r="M2310" s="8" t="s">
        <v>13180</v>
      </c>
      <c r="N2310" s="8" t="s">
        <v>284</v>
      </c>
      <c r="O2310" s="8" t="s">
        <v>285</v>
      </c>
      <c r="P2310" s="6" t="s">
        <v>44</v>
      </c>
      <c r="Q2310" s="8" t="s">
        <v>45</v>
      </c>
      <c r="R2310" s="10" t="s">
        <v>13181</v>
      </c>
      <c r="S2310" s="11"/>
      <c r="T2310" s="6"/>
      <c r="U2310" s="24" t="str">
        <f>HYPERLINK("https://media.infra-m.ru/1838/1838017/cover/1838017.jpg", "Обложка")</f>
        <v>Обложка</v>
      </c>
      <c r="V2310" s="12"/>
      <c r="W2310" s="8" t="s">
        <v>346</v>
      </c>
      <c r="X2310" s="6"/>
      <c r="Y2310" s="6"/>
      <c r="Z2310" s="6"/>
      <c r="AA2310" s="6" t="s">
        <v>111</v>
      </c>
      <c r="AB2310" s="8"/>
    </row>
    <row r="2311" spans="1:28" s="4" customFormat="1" ht="42" customHeight="1">
      <c r="A2311" s="5">
        <v>0</v>
      </c>
      <c r="B2311" s="6" t="s">
        <v>13182</v>
      </c>
      <c r="C2311" s="7">
        <v>2820</v>
      </c>
      <c r="D2311" s="8" t="s">
        <v>13183</v>
      </c>
      <c r="E2311" s="8" t="s">
        <v>13184</v>
      </c>
      <c r="F2311" s="8" t="s">
        <v>13185</v>
      </c>
      <c r="G2311" s="6" t="s">
        <v>132</v>
      </c>
      <c r="H2311" s="6" t="s">
        <v>39</v>
      </c>
      <c r="I2311" s="8" t="s">
        <v>40</v>
      </c>
      <c r="J2311" s="9">
        <v>1</v>
      </c>
      <c r="K2311" s="9">
        <v>521</v>
      </c>
      <c r="L2311" s="9">
        <v>2023</v>
      </c>
      <c r="M2311" s="8" t="s">
        <v>13186</v>
      </c>
      <c r="N2311" s="8" t="s">
        <v>284</v>
      </c>
      <c r="O2311" s="8" t="s">
        <v>2265</v>
      </c>
      <c r="P2311" s="6" t="s">
        <v>44</v>
      </c>
      <c r="Q2311" s="8" t="s">
        <v>45</v>
      </c>
      <c r="R2311" s="10" t="s">
        <v>6565</v>
      </c>
      <c r="S2311" s="11"/>
      <c r="T2311" s="6"/>
      <c r="U2311" s="24" t="str">
        <f>HYPERLINK("https://media.infra-m.ru/1867/1867636/cover/1867636.jpg", "Обложка")</f>
        <v>Обложка</v>
      </c>
      <c r="V2311" s="24" t="str">
        <f>HYPERLINK("https://znanium.ru/catalog/product/1867636", "Ознакомиться")</f>
        <v>Ознакомиться</v>
      </c>
      <c r="W2311" s="8" t="s">
        <v>2991</v>
      </c>
      <c r="X2311" s="6"/>
      <c r="Y2311" s="6"/>
      <c r="Z2311" s="6"/>
      <c r="AA2311" s="6" t="s">
        <v>119</v>
      </c>
      <c r="AB2311" s="8"/>
    </row>
    <row r="2312" spans="1:28" s="4" customFormat="1" ht="42" customHeight="1">
      <c r="A2312" s="5">
        <v>0</v>
      </c>
      <c r="B2312" s="6" t="s">
        <v>13187</v>
      </c>
      <c r="C2312" s="7">
        <v>1152</v>
      </c>
      <c r="D2312" s="8" t="s">
        <v>13188</v>
      </c>
      <c r="E2312" s="8" t="s">
        <v>13189</v>
      </c>
      <c r="F2312" s="8" t="s">
        <v>13190</v>
      </c>
      <c r="G2312" s="6" t="s">
        <v>38</v>
      </c>
      <c r="H2312" s="6" t="s">
        <v>39</v>
      </c>
      <c r="I2312" s="8" t="s">
        <v>336</v>
      </c>
      <c r="J2312" s="9">
        <v>1</v>
      </c>
      <c r="K2312" s="9">
        <v>245</v>
      </c>
      <c r="L2312" s="9">
        <v>2022</v>
      </c>
      <c r="M2312" s="8" t="s">
        <v>13191</v>
      </c>
      <c r="N2312" s="8" t="s">
        <v>42</v>
      </c>
      <c r="O2312" s="8" t="s">
        <v>101</v>
      </c>
      <c r="P2312" s="6" t="s">
        <v>44</v>
      </c>
      <c r="Q2312" s="8" t="s">
        <v>45</v>
      </c>
      <c r="R2312" s="10" t="s">
        <v>874</v>
      </c>
      <c r="S2312" s="11"/>
      <c r="T2312" s="6"/>
      <c r="U2312" s="24" t="str">
        <f>HYPERLINK("https://media.infra-m.ru/1851/1851138/cover/1851138.jpg", "Обложка")</f>
        <v>Обложка</v>
      </c>
      <c r="V2312" s="24" t="str">
        <f>HYPERLINK("https://znanium.ru/catalog/product/1851138", "Ознакомиться")</f>
        <v>Ознакомиться</v>
      </c>
      <c r="W2312" s="8" t="s">
        <v>103</v>
      </c>
      <c r="X2312" s="6"/>
      <c r="Y2312" s="6"/>
      <c r="Z2312" s="6"/>
      <c r="AA2312" s="6" t="s">
        <v>290</v>
      </c>
      <c r="AB2312" s="8"/>
    </row>
    <row r="2313" spans="1:28" s="4" customFormat="1" ht="51.95" customHeight="1">
      <c r="A2313" s="5">
        <v>0</v>
      </c>
      <c r="B2313" s="6" t="s">
        <v>13192</v>
      </c>
      <c r="C2313" s="7">
        <v>1116</v>
      </c>
      <c r="D2313" s="8" t="s">
        <v>13193</v>
      </c>
      <c r="E2313" s="8" t="s">
        <v>13194</v>
      </c>
      <c r="F2313" s="8" t="s">
        <v>980</v>
      </c>
      <c r="G2313" s="6" t="s">
        <v>38</v>
      </c>
      <c r="H2313" s="6" t="s">
        <v>39</v>
      </c>
      <c r="I2313" s="8" t="s">
        <v>40</v>
      </c>
      <c r="J2313" s="9">
        <v>1</v>
      </c>
      <c r="K2313" s="9">
        <v>184</v>
      </c>
      <c r="L2313" s="9">
        <v>2025</v>
      </c>
      <c r="M2313" s="8" t="s">
        <v>13195</v>
      </c>
      <c r="N2313" s="8" t="s">
        <v>54</v>
      </c>
      <c r="O2313" s="8" t="s">
        <v>55</v>
      </c>
      <c r="P2313" s="6" t="s">
        <v>44</v>
      </c>
      <c r="Q2313" s="8" t="s">
        <v>45</v>
      </c>
      <c r="R2313" s="10" t="s">
        <v>5374</v>
      </c>
      <c r="S2313" s="11"/>
      <c r="T2313" s="6"/>
      <c r="U2313" s="24" t="str">
        <f>HYPERLINK("https://media.infra-m.ru/2172/2172555/cover/2172555.jpg", "Обложка")</f>
        <v>Обложка</v>
      </c>
      <c r="V2313" s="24" t="str">
        <f>HYPERLINK("https://znanium.ru/catalog/product/2172555", "Ознакомиться")</f>
        <v>Ознакомиться</v>
      </c>
      <c r="W2313" s="8" t="s">
        <v>846</v>
      </c>
      <c r="X2313" s="6"/>
      <c r="Y2313" s="6"/>
      <c r="Z2313" s="6"/>
      <c r="AA2313" s="6" t="s">
        <v>127</v>
      </c>
      <c r="AB2313" s="8"/>
    </row>
    <row r="2314" spans="1:28" s="4" customFormat="1" ht="42" customHeight="1">
      <c r="A2314" s="5">
        <v>0</v>
      </c>
      <c r="B2314" s="6" t="s">
        <v>13196</v>
      </c>
      <c r="C2314" s="13">
        <v>732</v>
      </c>
      <c r="D2314" s="8" t="s">
        <v>13197</v>
      </c>
      <c r="E2314" s="8" t="s">
        <v>13198</v>
      </c>
      <c r="F2314" s="8" t="s">
        <v>13199</v>
      </c>
      <c r="G2314" s="6" t="s">
        <v>38</v>
      </c>
      <c r="H2314" s="6" t="s">
        <v>39</v>
      </c>
      <c r="I2314" s="8" t="s">
        <v>40</v>
      </c>
      <c r="J2314" s="9">
        <v>1</v>
      </c>
      <c r="K2314" s="9">
        <v>136</v>
      </c>
      <c r="L2314" s="9">
        <v>2022</v>
      </c>
      <c r="M2314" s="8" t="s">
        <v>13200</v>
      </c>
      <c r="N2314" s="8" t="s">
        <v>42</v>
      </c>
      <c r="O2314" s="8" t="s">
        <v>101</v>
      </c>
      <c r="P2314" s="6" t="s">
        <v>44</v>
      </c>
      <c r="Q2314" s="8" t="s">
        <v>45</v>
      </c>
      <c r="R2314" s="10" t="s">
        <v>564</v>
      </c>
      <c r="S2314" s="11"/>
      <c r="T2314" s="6"/>
      <c r="U2314" s="24" t="str">
        <f>HYPERLINK("https://media.infra-m.ru/1891/1891262/cover/1891262.jpg", "Обложка")</f>
        <v>Обложка</v>
      </c>
      <c r="V2314" s="24" t="str">
        <f>HYPERLINK("https://znanium.ru/catalog/product/1891262", "Ознакомиться")</f>
        <v>Ознакомиться</v>
      </c>
      <c r="W2314" s="8" t="s">
        <v>1211</v>
      </c>
      <c r="X2314" s="6"/>
      <c r="Y2314" s="6"/>
      <c r="Z2314" s="6"/>
      <c r="AA2314" s="6" t="s">
        <v>127</v>
      </c>
      <c r="AB2314" s="8"/>
    </row>
    <row r="2315" spans="1:28" s="4" customFormat="1" ht="42" customHeight="1">
      <c r="A2315" s="5">
        <v>0</v>
      </c>
      <c r="B2315" s="6" t="s">
        <v>13201</v>
      </c>
      <c r="C2315" s="13">
        <v>684</v>
      </c>
      <c r="D2315" s="8" t="s">
        <v>13202</v>
      </c>
      <c r="E2315" s="8" t="s">
        <v>13203</v>
      </c>
      <c r="F2315" s="8" t="s">
        <v>13204</v>
      </c>
      <c r="G2315" s="6" t="s">
        <v>38</v>
      </c>
      <c r="H2315" s="6" t="s">
        <v>39</v>
      </c>
      <c r="I2315" s="8" t="s">
        <v>40</v>
      </c>
      <c r="J2315" s="9">
        <v>1</v>
      </c>
      <c r="K2315" s="9">
        <v>111</v>
      </c>
      <c r="L2315" s="9">
        <v>2024</v>
      </c>
      <c r="M2315" s="8" t="s">
        <v>13205</v>
      </c>
      <c r="N2315" s="8" t="s">
        <v>284</v>
      </c>
      <c r="O2315" s="8" t="s">
        <v>285</v>
      </c>
      <c r="P2315" s="6" t="s">
        <v>44</v>
      </c>
      <c r="Q2315" s="8" t="s">
        <v>45</v>
      </c>
      <c r="R2315" s="10" t="s">
        <v>13206</v>
      </c>
      <c r="S2315" s="11"/>
      <c r="T2315" s="6"/>
      <c r="U2315" s="24" t="str">
        <f>HYPERLINK("https://media.infra-m.ru/2136/2136032/cover/2136032.jpg", "Обложка")</f>
        <v>Обложка</v>
      </c>
      <c r="V2315" s="24" t="str">
        <f>HYPERLINK("https://znanium.ru/catalog/product/2136032", "Ознакомиться")</f>
        <v>Ознакомиться</v>
      </c>
      <c r="W2315" s="8" t="s">
        <v>7713</v>
      </c>
      <c r="X2315" s="6"/>
      <c r="Y2315" s="6"/>
      <c r="Z2315" s="6"/>
      <c r="AA2315" s="6" t="s">
        <v>68</v>
      </c>
      <c r="AB2315" s="8"/>
    </row>
    <row r="2316" spans="1:28" s="4" customFormat="1" ht="51.95" customHeight="1">
      <c r="A2316" s="5">
        <v>0</v>
      </c>
      <c r="B2316" s="6" t="s">
        <v>13207</v>
      </c>
      <c r="C2316" s="7">
        <v>2520</v>
      </c>
      <c r="D2316" s="8" t="s">
        <v>13208</v>
      </c>
      <c r="E2316" s="8" t="s">
        <v>13209</v>
      </c>
      <c r="F2316" s="8" t="s">
        <v>13210</v>
      </c>
      <c r="G2316" s="6" t="s">
        <v>132</v>
      </c>
      <c r="H2316" s="6" t="s">
        <v>39</v>
      </c>
      <c r="I2316" s="8" t="s">
        <v>40</v>
      </c>
      <c r="J2316" s="9">
        <v>1</v>
      </c>
      <c r="K2316" s="9">
        <v>421</v>
      </c>
      <c r="L2316" s="9">
        <v>2025</v>
      </c>
      <c r="M2316" s="8" t="s">
        <v>13211</v>
      </c>
      <c r="N2316" s="8" t="s">
        <v>42</v>
      </c>
      <c r="O2316" s="8" t="s">
        <v>189</v>
      </c>
      <c r="P2316" s="6" t="s">
        <v>44</v>
      </c>
      <c r="Q2316" s="8" t="s">
        <v>45</v>
      </c>
      <c r="R2316" s="10" t="s">
        <v>13212</v>
      </c>
      <c r="S2316" s="11"/>
      <c r="T2316" s="6"/>
      <c r="U2316" s="24" t="str">
        <f>HYPERLINK("https://media.infra-m.ru/2172/2172567/cover/2172567.jpg", "Обложка")</f>
        <v>Обложка</v>
      </c>
      <c r="V2316" s="24" t="str">
        <f>HYPERLINK("https://znanium.ru/catalog/product/2172567", "Ознакомиться")</f>
        <v>Ознакомиться</v>
      </c>
      <c r="W2316" s="8" t="s">
        <v>1211</v>
      </c>
      <c r="X2316" s="6"/>
      <c r="Y2316" s="6"/>
      <c r="Z2316" s="6"/>
      <c r="AA2316" s="6" t="s">
        <v>58</v>
      </c>
      <c r="AB2316" s="8"/>
    </row>
    <row r="2317" spans="1:28" s="4" customFormat="1" ht="44.1" customHeight="1">
      <c r="A2317" s="5">
        <v>0</v>
      </c>
      <c r="B2317" s="6" t="s">
        <v>13213</v>
      </c>
      <c r="C2317" s="7">
        <v>1716</v>
      </c>
      <c r="D2317" s="8" t="s">
        <v>13214</v>
      </c>
      <c r="E2317" s="8" t="s">
        <v>13215</v>
      </c>
      <c r="F2317" s="8" t="s">
        <v>13216</v>
      </c>
      <c r="G2317" s="6" t="s">
        <v>38</v>
      </c>
      <c r="H2317" s="6" t="s">
        <v>39</v>
      </c>
      <c r="I2317" s="8" t="s">
        <v>40</v>
      </c>
      <c r="J2317" s="9">
        <v>1</v>
      </c>
      <c r="K2317" s="9">
        <v>289</v>
      </c>
      <c r="L2317" s="9">
        <v>2024</v>
      </c>
      <c r="M2317" s="8" t="s">
        <v>13217</v>
      </c>
      <c r="N2317" s="8" t="s">
        <v>42</v>
      </c>
      <c r="O2317" s="8" t="s">
        <v>189</v>
      </c>
      <c r="P2317" s="6" t="s">
        <v>44</v>
      </c>
      <c r="Q2317" s="8" t="s">
        <v>45</v>
      </c>
      <c r="R2317" s="10" t="s">
        <v>13218</v>
      </c>
      <c r="S2317" s="11"/>
      <c r="T2317" s="6"/>
      <c r="U2317" s="24" t="str">
        <f>HYPERLINK("https://media.infra-m.ru/1977/1977990/cover/1977990.jpg", "Обложка")</f>
        <v>Обложка</v>
      </c>
      <c r="V2317" s="24" t="str">
        <f>HYPERLINK("https://znanium.ru/catalog/product/1977990", "Ознакомиться")</f>
        <v>Ознакомиться</v>
      </c>
      <c r="W2317" s="8" t="s">
        <v>354</v>
      </c>
      <c r="X2317" s="6"/>
      <c r="Y2317" s="6"/>
      <c r="Z2317" s="6"/>
      <c r="AA2317" s="6" t="s">
        <v>58</v>
      </c>
      <c r="AB2317" s="8"/>
    </row>
    <row r="2318" spans="1:28" s="4" customFormat="1" ht="51.95" customHeight="1">
      <c r="A2318" s="5">
        <v>0</v>
      </c>
      <c r="B2318" s="6" t="s">
        <v>13219</v>
      </c>
      <c r="C2318" s="7">
        <v>1404</v>
      </c>
      <c r="D2318" s="8" t="s">
        <v>13220</v>
      </c>
      <c r="E2318" s="8" t="s">
        <v>13221</v>
      </c>
      <c r="F2318" s="8" t="s">
        <v>13222</v>
      </c>
      <c r="G2318" s="6" t="s">
        <v>38</v>
      </c>
      <c r="H2318" s="6" t="s">
        <v>39</v>
      </c>
      <c r="I2318" s="8" t="s">
        <v>40</v>
      </c>
      <c r="J2318" s="9">
        <v>1</v>
      </c>
      <c r="K2318" s="9">
        <v>248</v>
      </c>
      <c r="L2318" s="9">
        <v>2022</v>
      </c>
      <c r="M2318" s="8" t="s">
        <v>13223</v>
      </c>
      <c r="N2318" s="8" t="s">
        <v>284</v>
      </c>
      <c r="O2318" s="8" t="s">
        <v>1549</v>
      </c>
      <c r="P2318" s="6" t="s">
        <v>44</v>
      </c>
      <c r="Q2318" s="8" t="s">
        <v>45</v>
      </c>
      <c r="R2318" s="10" t="s">
        <v>13224</v>
      </c>
      <c r="S2318" s="11"/>
      <c r="T2318" s="6"/>
      <c r="U2318" s="24" t="str">
        <f>HYPERLINK("https://media.infra-m.ru/1846/1846464/cover/1846464.jpg", "Обложка")</f>
        <v>Обложка</v>
      </c>
      <c r="V2318" s="24" t="str">
        <f>HYPERLINK("https://znanium.ru/catalog/product/1846464", "Ознакомиться")</f>
        <v>Ознакомиться</v>
      </c>
      <c r="W2318" s="8" t="s">
        <v>5222</v>
      </c>
      <c r="X2318" s="6"/>
      <c r="Y2318" s="6"/>
      <c r="Z2318" s="6"/>
      <c r="AA2318" s="6" t="s">
        <v>111</v>
      </c>
      <c r="AB2318" s="8"/>
    </row>
    <row r="2319" spans="1:28" s="4" customFormat="1" ht="42" customHeight="1">
      <c r="A2319" s="5">
        <v>0</v>
      </c>
      <c r="B2319" s="6" t="s">
        <v>13225</v>
      </c>
      <c r="C2319" s="7">
        <v>3028.8</v>
      </c>
      <c r="D2319" s="8" t="s">
        <v>13226</v>
      </c>
      <c r="E2319" s="8" t="s">
        <v>13227</v>
      </c>
      <c r="F2319" s="8" t="s">
        <v>13228</v>
      </c>
      <c r="G2319" s="6" t="s">
        <v>132</v>
      </c>
      <c r="H2319" s="6" t="s">
        <v>3576</v>
      </c>
      <c r="I2319" s="8" t="s">
        <v>3577</v>
      </c>
      <c r="J2319" s="9">
        <v>1</v>
      </c>
      <c r="K2319" s="9">
        <v>560</v>
      </c>
      <c r="L2319" s="9">
        <v>2023</v>
      </c>
      <c r="M2319" s="8" t="s">
        <v>13229</v>
      </c>
      <c r="N2319" s="8" t="s">
        <v>284</v>
      </c>
      <c r="O2319" s="8" t="s">
        <v>482</v>
      </c>
      <c r="P2319" s="6" t="s">
        <v>44</v>
      </c>
      <c r="Q2319" s="8" t="s">
        <v>45</v>
      </c>
      <c r="R2319" s="10" t="s">
        <v>13230</v>
      </c>
      <c r="S2319" s="11"/>
      <c r="T2319" s="6"/>
      <c r="U2319" s="24" t="str">
        <f>HYPERLINK("https://media.infra-m.ru/1981/1981595/cover/1981595.jpg", "Обложка")</f>
        <v>Обложка</v>
      </c>
      <c r="V2319" s="24" t="str">
        <f>HYPERLINK("https://znanium.ru/catalog/product/971694", "Ознакомиться")</f>
        <v>Ознакомиться</v>
      </c>
      <c r="W2319" s="8" t="s">
        <v>1882</v>
      </c>
      <c r="X2319" s="6"/>
      <c r="Y2319" s="6"/>
      <c r="Z2319" s="6"/>
      <c r="AA2319" s="6" t="s">
        <v>290</v>
      </c>
      <c r="AB2319" s="8"/>
    </row>
    <row r="2320" spans="1:28" s="4" customFormat="1" ht="51.95" customHeight="1">
      <c r="A2320" s="5">
        <v>0</v>
      </c>
      <c r="B2320" s="6" t="s">
        <v>13231</v>
      </c>
      <c r="C2320" s="7">
        <v>2052</v>
      </c>
      <c r="D2320" s="8" t="s">
        <v>13232</v>
      </c>
      <c r="E2320" s="8" t="s">
        <v>13233</v>
      </c>
      <c r="F2320" s="8" t="s">
        <v>13234</v>
      </c>
      <c r="G2320" s="6" t="s">
        <v>132</v>
      </c>
      <c r="H2320" s="6" t="s">
        <v>39</v>
      </c>
      <c r="I2320" s="8" t="s">
        <v>40</v>
      </c>
      <c r="J2320" s="9">
        <v>1</v>
      </c>
      <c r="K2320" s="9">
        <v>379</v>
      </c>
      <c r="L2320" s="9">
        <v>2023</v>
      </c>
      <c r="M2320" s="8" t="s">
        <v>13235</v>
      </c>
      <c r="N2320" s="8" t="s">
        <v>54</v>
      </c>
      <c r="O2320" s="8" t="s">
        <v>55</v>
      </c>
      <c r="P2320" s="6" t="s">
        <v>44</v>
      </c>
      <c r="Q2320" s="8" t="s">
        <v>45</v>
      </c>
      <c r="R2320" s="10" t="s">
        <v>13236</v>
      </c>
      <c r="S2320" s="11"/>
      <c r="T2320" s="6"/>
      <c r="U2320" s="24" t="str">
        <f>HYPERLINK("https://media.infra-m.ru/1911/1911018/cover/1911018.jpg", "Обложка")</f>
        <v>Обложка</v>
      </c>
      <c r="V2320" s="24" t="str">
        <f>HYPERLINK("https://znanium.ru/catalog/product/1911018", "Ознакомиться")</f>
        <v>Ознакомиться</v>
      </c>
      <c r="W2320" s="8" t="s">
        <v>5156</v>
      </c>
      <c r="X2320" s="6"/>
      <c r="Y2320" s="6"/>
      <c r="Z2320" s="6"/>
      <c r="AA2320" s="6" t="s">
        <v>119</v>
      </c>
      <c r="AB2320" s="8"/>
    </row>
    <row r="2321" spans="1:28" s="4" customFormat="1" ht="42" customHeight="1">
      <c r="A2321" s="5">
        <v>0</v>
      </c>
      <c r="B2321" s="6" t="s">
        <v>13237</v>
      </c>
      <c r="C2321" s="7">
        <v>1068</v>
      </c>
      <c r="D2321" s="8" t="s">
        <v>13238</v>
      </c>
      <c r="E2321" s="8" t="s">
        <v>13239</v>
      </c>
      <c r="F2321" s="8" t="s">
        <v>13240</v>
      </c>
      <c r="G2321" s="6" t="s">
        <v>38</v>
      </c>
      <c r="H2321" s="6" t="s">
        <v>39</v>
      </c>
      <c r="I2321" s="8" t="s">
        <v>40</v>
      </c>
      <c r="J2321" s="9">
        <v>1</v>
      </c>
      <c r="K2321" s="9">
        <v>178</v>
      </c>
      <c r="L2321" s="9">
        <v>2025</v>
      </c>
      <c r="M2321" s="8" t="s">
        <v>13241</v>
      </c>
      <c r="N2321" s="8" t="s">
        <v>42</v>
      </c>
      <c r="O2321" s="8" t="s">
        <v>246</v>
      </c>
      <c r="P2321" s="6" t="s">
        <v>44</v>
      </c>
      <c r="Q2321" s="8" t="s">
        <v>45</v>
      </c>
      <c r="R2321" s="10" t="s">
        <v>2233</v>
      </c>
      <c r="S2321" s="11"/>
      <c r="T2321" s="6"/>
      <c r="U2321" s="24" t="str">
        <f>HYPERLINK("https://media.infra-m.ru/2186/2186414/cover/2186414.jpg", "Обложка")</f>
        <v>Обложка</v>
      </c>
      <c r="V2321" s="24" t="str">
        <f>HYPERLINK("https://znanium.ru/catalog/product/2186414", "Ознакомиться")</f>
        <v>Ознакомиться</v>
      </c>
      <c r="W2321" s="8" t="s">
        <v>7136</v>
      </c>
      <c r="X2321" s="6"/>
      <c r="Y2321" s="6"/>
      <c r="Z2321" s="6"/>
      <c r="AA2321" s="6" t="s">
        <v>199</v>
      </c>
      <c r="AB2321" s="8"/>
    </row>
    <row r="2322" spans="1:28" s="4" customFormat="1" ht="44.1" customHeight="1">
      <c r="A2322" s="5">
        <v>0</v>
      </c>
      <c r="B2322" s="6" t="s">
        <v>13242</v>
      </c>
      <c r="C2322" s="7">
        <v>1068</v>
      </c>
      <c r="D2322" s="8" t="s">
        <v>13243</v>
      </c>
      <c r="E2322" s="8" t="s">
        <v>13244</v>
      </c>
      <c r="F2322" s="8" t="s">
        <v>13245</v>
      </c>
      <c r="G2322" s="6" t="s">
        <v>38</v>
      </c>
      <c r="H2322" s="6" t="s">
        <v>39</v>
      </c>
      <c r="I2322" s="8" t="s">
        <v>40</v>
      </c>
      <c r="J2322" s="9">
        <v>1</v>
      </c>
      <c r="K2322" s="9">
        <v>240</v>
      </c>
      <c r="L2322" s="9">
        <v>2020</v>
      </c>
      <c r="M2322" s="8" t="s">
        <v>13246</v>
      </c>
      <c r="N2322" s="8" t="s">
        <v>42</v>
      </c>
      <c r="O2322" s="8" t="s">
        <v>189</v>
      </c>
      <c r="P2322" s="6" t="s">
        <v>44</v>
      </c>
      <c r="Q2322" s="8" t="s">
        <v>45</v>
      </c>
      <c r="R2322" s="10" t="s">
        <v>190</v>
      </c>
      <c r="S2322" s="11"/>
      <c r="T2322" s="6"/>
      <c r="U2322" s="24" t="str">
        <f>HYPERLINK("https://media.infra-m.ru/1027/1027398/cover/1027398.jpg", "Обложка")</f>
        <v>Обложка</v>
      </c>
      <c r="V2322" s="24" t="str">
        <f>HYPERLINK("https://znanium.ru/catalog/product/1027398", "Ознакомиться")</f>
        <v>Ознакомиться</v>
      </c>
      <c r="W2322" s="8" t="s">
        <v>10466</v>
      </c>
      <c r="X2322" s="6"/>
      <c r="Y2322" s="6"/>
      <c r="Z2322" s="6"/>
      <c r="AA2322" s="6" t="s">
        <v>168</v>
      </c>
      <c r="AB2322" s="8"/>
    </row>
    <row r="2323" spans="1:28" s="4" customFormat="1" ht="42" customHeight="1">
      <c r="A2323" s="5">
        <v>0</v>
      </c>
      <c r="B2323" s="6" t="s">
        <v>13247</v>
      </c>
      <c r="C2323" s="7">
        <v>1500</v>
      </c>
      <c r="D2323" s="8" t="s">
        <v>13248</v>
      </c>
      <c r="E2323" s="8" t="s">
        <v>13249</v>
      </c>
      <c r="F2323" s="8" t="s">
        <v>13250</v>
      </c>
      <c r="G2323" s="6" t="s">
        <v>132</v>
      </c>
      <c r="H2323" s="6" t="s">
        <v>39</v>
      </c>
      <c r="I2323" s="8" t="s">
        <v>40</v>
      </c>
      <c r="J2323" s="9">
        <v>1</v>
      </c>
      <c r="K2323" s="9">
        <v>261</v>
      </c>
      <c r="L2323" s="9">
        <v>2023</v>
      </c>
      <c r="M2323" s="8" t="s">
        <v>13251</v>
      </c>
      <c r="N2323" s="8" t="s">
        <v>42</v>
      </c>
      <c r="O2323" s="8" t="s">
        <v>189</v>
      </c>
      <c r="P2323" s="6" t="s">
        <v>44</v>
      </c>
      <c r="Q2323" s="8" t="s">
        <v>45</v>
      </c>
      <c r="R2323" s="10" t="s">
        <v>3954</v>
      </c>
      <c r="S2323" s="11"/>
      <c r="T2323" s="6"/>
      <c r="U2323" s="24" t="str">
        <f>HYPERLINK("https://media.infra-m.ru/1921/1921376/cover/1921376.jpg", "Обложка")</f>
        <v>Обложка</v>
      </c>
      <c r="V2323" s="24" t="str">
        <f>HYPERLINK("https://znanium.ru/catalog/product/1921376", "Ознакомиться")</f>
        <v>Ознакомиться</v>
      </c>
      <c r="W2323" s="8" t="s">
        <v>167</v>
      </c>
      <c r="X2323" s="6"/>
      <c r="Y2323" s="6"/>
      <c r="Z2323" s="6"/>
      <c r="AA2323" s="6" t="s">
        <v>119</v>
      </c>
      <c r="AB2323" s="8"/>
    </row>
    <row r="2324" spans="1:28" s="4" customFormat="1" ht="42" customHeight="1">
      <c r="A2324" s="5">
        <v>0</v>
      </c>
      <c r="B2324" s="6" t="s">
        <v>13252</v>
      </c>
      <c r="C2324" s="7">
        <v>1612.8</v>
      </c>
      <c r="D2324" s="8" t="s">
        <v>13253</v>
      </c>
      <c r="E2324" s="8" t="s">
        <v>13254</v>
      </c>
      <c r="F2324" s="8" t="s">
        <v>13255</v>
      </c>
      <c r="G2324" s="6" t="s">
        <v>81</v>
      </c>
      <c r="H2324" s="6" t="s">
        <v>39</v>
      </c>
      <c r="I2324" s="8" t="s">
        <v>40</v>
      </c>
      <c r="J2324" s="9">
        <v>1</v>
      </c>
      <c r="K2324" s="9">
        <v>297</v>
      </c>
      <c r="L2324" s="9">
        <v>2023</v>
      </c>
      <c r="M2324" s="8" t="s">
        <v>13256</v>
      </c>
      <c r="N2324" s="8" t="s">
        <v>42</v>
      </c>
      <c r="O2324" s="8" t="s">
        <v>101</v>
      </c>
      <c r="P2324" s="6" t="s">
        <v>44</v>
      </c>
      <c r="Q2324" s="8" t="s">
        <v>45</v>
      </c>
      <c r="R2324" s="10" t="s">
        <v>5812</v>
      </c>
      <c r="S2324" s="11"/>
      <c r="T2324" s="6"/>
      <c r="U2324" s="24" t="str">
        <f>HYPERLINK("https://media.infra-m.ru/2006/2006093/cover/2006093.jpg", "Обложка")</f>
        <v>Обложка</v>
      </c>
      <c r="V2324" s="24" t="str">
        <f>HYPERLINK("https://znanium.ru/catalog/product/989153", "Ознакомиться")</f>
        <v>Ознакомиться</v>
      </c>
      <c r="W2324" s="8" t="s">
        <v>1362</v>
      </c>
      <c r="X2324" s="6"/>
      <c r="Y2324" s="6"/>
      <c r="Z2324" s="6"/>
      <c r="AA2324" s="6" t="s">
        <v>369</v>
      </c>
      <c r="AB2324" s="8"/>
    </row>
    <row r="2325" spans="1:28" s="4" customFormat="1" ht="51.95" customHeight="1">
      <c r="A2325" s="5">
        <v>0</v>
      </c>
      <c r="B2325" s="6" t="s">
        <v>13257</v>
      </c>
      <c r="C2325" s="7">
        <v>2388</v>
      </c>
      <c r="D2325" s="8" t="s">
        <v>13258</v>
      </c>
      <c r="E2325" s="8" t="s">
        <v>13259</v>
      </c>
      <c r="F2325" s="8" t="s">
        <v>13260</v>
      </c>
      <c r="G2325" s="6" t="s">
        <v>38</v>
      </c>
      <c r="H2325" s="6" t="s">
        <v>39</v>
      </c>
      <c r="I2325" s="8" t="s">
        <v>40</v>
      </c>
      <c r="J2325" s="9">
        <v>1</v>
      </c>
      <c r="K2325" s="9">
        <v>379</v>
      </c>
      <c r="L2325" s="9">
        <v>2025</v>
      </c>
      <c r="M2325" s="8" t="s">
        <v>13261</v>
      </c>
      <c r="N2325" s="8" t="s">
        <v>42</v>
      </c>
      <c r="O2325" s="8" t="s">
        <v>101</v>
      </c>
      <c r="P2325" s="6" t="s">
        <v>44</v>
      </c>
      <c r="Q2325" s="8" t="s">
        <v>45</v>
      </c>
      <c r="R2325" s="10" t="s">
        <v>13262</v>
      </c>
      <c r="S2325" s="11"/>
      <c r="T2325" s="6"/>
      <c r="U2325" s="24" t="str">
        <f>HYPERLINK("https://media.infra-m.ru/2171/2171113/cover/2171113.jpg", "Обложка")</f>
        <v>Обложка</v>
      </c>
      <c r="V2325" s="24" t="str">
        <f>HYPERLINK("https://znanium.ru/catalog/product/2171113", "Ознакомиться")</f>
        <v>Ознакомиться</v>
      </c>
      <c r="W2325" s="8" t="s">
        <v>3519</v>
      </c>
      <c r="X2325" s="6" t="s">
        <v>306</v>
      </c>
      <c r="Y2325" s="6"/>
      <c r="Z2325" s="6"/>
      <c r="AA2325" s="6" t="s">
        <v>159</v>
      </c>
      <c r="AB2325" s="8"/>
    </row>
    <row r="2326" spans="1:28" s="4" customFormat="1" ht="44.1" customHeight="1">
      <c r="A2326" s="5">
        <v>0</v>
      </c>
      <c r="B2326" s="6" t="s">
        <v>13263</v>
      </c>
      <c r="C2326" s="7">
        <v>2292</v>
      </c>
      <c r="D2326" s="8" t="s">
        <v>13264</v>
      </c>
      <c r="E2326" s="8" t="s">
        <v>13265</v>
      </c>
      <c r="F2326" s="8" t="s">
        <v>13266</v>
      </c>
      <c r="G2326" s="6" t="s">
        <v>132</v>
      </c>
      <c r="H2326" s="6" t="s">
        <v>3576</v>
      </c>
      <c r="I2326" s="8" t="s">
        <v>3577</v>
      </c>
      <c r="J2326" s="9">
        <v>1</v>
      </c>
      <c r="K2326" s="9">
        <v>408</v>
      </c>
      <c r="L2326" s="9">
        <v>2024</v>
      </c>
      <c r="M2326" s="8" t="s">
        <v>13267</v>
      </c>
      <c r="N2326" s="8" t="s">
        <v>42</v>
      </c>
      <c r="O2326" s="8" t="s">
        <v>1035</v>
      </c>
      <c r="P2326" s="6" t="s">
        <v>44</v>
      </c>
      <c r="Q2326" s="8" t="s">
        <v>45</v>
      </c>
      <c r="R2326" s="10" t="s">
        <v>13268</v>
      </c>
      <c r="S2326" s="11"/>
      <c r="T2326" s="6"/>
      <c r="U2326" s="24" t="str">
        <f>HYPERLINK("https://media.infra-m.ru/2116/2116947/cover/2116947.jpg", "Обложка")</f>
        <v>Обложка</v>
      </c>
      <c r="V2326" s="24" t="str">
        <f>HYPERLINK("https://znanium.ru/catalog/product/2116947", "Ознакомиться")</f>
        <v>Ознакомиться</v>
      </c>
      <c r="W2326" s="8" t="s">
        <v>1218</v>
      </c>
      <c r="X2326" s="6"/>
      <c r="Y2326" s="6"/>
      <c r="Z2326" s="6"/>
      <c r="AA2326" s="6" t="s">
        <v>377</v>
      </c>
      <c r="AB2326" s="8"/>
    </row>
    <row r="2327" spans="1:28" s="4" customFormat="1" ht="51.95" customHeight="1">
      <c r="A2327" s="5">
        <v>0</v>
      </c>
      <c r="B2327" s="6" t="s">
        <v>13269</v>
      </c>
      <c r="C2327" s="13">
        <v>924</v>
      </c>
      <c r="D2327" s="8" t="s">
        <v>13270</v>
      </c>
      <c r="E2327" s="8" t="s">
        <v>13271</v>
      </c>
      <c r="F2327" s="8" t="s">
        <v>13272</v>
      </c>
      <c r="G2327" s="6" t="s">
        <v>38</v>
      </c>
      <c r="H2327" s="6" t="s">
        <v>39</v>
      </c>
      <c r="I2327" s="8" t="s">
        <v>40</v>
      </c>
      <c r="J2327" s="9">
        <v>1</v>
      </c>
      <c r="K2327" s="9">
        <v>151</v>
      </c>
      <c r="L2327" s="9">
        <v>2022</v>
      </c>
      <c r="M2327" s="8" t="s">
        <v>13273</v>
      </c>
      <c r="N2327" s="8" t="s">
        <v>42</v>
      </c>
      <c r="O2327" s="8" t="s">
        <v>1035</v>
      </c>
      <c r="P2327" s="6" t="s">
        <v>44</v>
      </c>
      <c r="Q2327" s="8" t="s">
        <v>45</v>
      </c>
      <c r="R2327" s="10" t="s">
        <v>13274</v>
      </c>
      <c r="S2327" s="11"/>
      <c r="T2327" s="6"/>
      <c r="U2327" s="24" t="str">
        <f>HYPERLINK("https://media.infra-m.ru/1863/1863099/cover/1863099.jpg", "Обложка")</f>
        <v>Обложка</v>
      </c>
      <c r="V2327" s="24" t="str">
        <f>HYPERLINK("https://znanium.ru/catalog/product/1863099", "Ознакомиться")</f>
        <v>Ознакомиться</v>
      </c>
      <c r="W2327" s="8" t="s">
        <v>7970</v>
      </c>
      <c r="X2327" s="6"/>
      <c r="Y2327" s="6"/>
      <c r="Z2327" s="6"/>
      <c r="AA2327" s="6" t="s">
        <v>111</v>
      </c>
      <c r="AB2327" s="8"/>
    </row>
    <row r="2328" spans="1:28" s="4" customFormat="1" ht="42" customHeight="1">
      <c r="A2328" s="5">
        <v>0</v>
      </c>
      <c r="B2328" s="6" t="s">
        <v>13275</v>
      </c>
      <c r="C2328" s="7">
        <v>1696.8</v>
      </c>
      <c r="D2328" s="8" t="s">
        <v>13276</v>
      </c>
      <c r="E2328" s="8" t="s">
        <v>13277</v>
      </c>
      <c r="F2328" s="8" t="s">
        <v>13278</v>
      </c>
      <c r="G2328" s="6" t="s">
        <v>132</v>
      </c>
      <c r="H2328" s="6" t="s">
        <v>99</v>
      </c>
      <c r="I2328" s="8"/>
      <c r="J2328" s="9">
        <v>1</v>
      </c>
      <c r="K2328" s="9">
        <v>256</v>
      </c>
      <c r="L2328" s="9">
        <v>2026</v>
      </c>
      <c r="M2328" s="8" t="s">
        <v>13279</v>
      </c>
      <c r="N2328" s="8" t="s">
        <v>42</v>
      </c>
      <c r="O2328" s="8" t="s">
        <v>101</v>
      </c>
      <c r="P2328" s="6" t="s">
        <v>44</v>
      </c>
      <c r="Q2328" s="8" t="s">
        <v>45</v>
      </c>
      <c r="R2328" s="10" t="s">
        <v>564</v>
      </c>
      <c r="S2328" s="11"/>
      <c r="T2328" s="6"/>
      <c r="U2328" s="24" t="str">
        <f>HYPERLINK("https://media.infra-m.ru/2224/2224172/cover/2224172.jpg", "Обложка")</f>
        <v>Обложка</v>
      </c>
      <c r="V2328" s="24" t="str">
        <f>HYPERLINK("https://znanium.ru/catalog/product/1929162", "Ознакомиться")</f>
        <v>Ознакомиться</v>
      </c>
      <c r="W2328" s="8" t="s">
        <v>565</v>
      </c>
      <c r="X2328" s="6"/>
      <c r="Y2328" s="6"/>
      <c r="Z2328" s="6"/>
      <c r="AA2328" s="6" t="s">
        <v>68</v>
      </c>
      <c r="AB2328" s="8"/>
    </row>
    <row r="2329" spans="1:28" s="4" customFormat="1" ht="51.95" customHeight="1">
      <c r="A2329" s="5">
        <v>0</v>
      </c>
      <c r="B2329" s="6" t="s">
        <v>13280</v>
      </c>
      <c r="C2329" s="7">
        <v>2352</v>
      </c>
      <c r="D2329" s="8" t="s">
        <v>13281</v>
      </c>
      <c r="E2329" s="8" t="s">
        <v>13282</v>
      </c>
      <c r="F2329" s="8" t="s">
        <v>13283</v>
      </c>
      <c r="G2329" s="6" t="s">
        <v>132</v>
      </c>
      <c r="H2329" s="6" t="s">
        <v>39</v>
      </c>
      <c r="I2329" s="8" t="s">
        <v>40</v>
      </c>
      <c r="J2329" s="9">
        <v>1</v>
      </c>
      <c r="K2329" s="9">
        <v>392</v>
      </c>
      <c r="L2329" s="9">
        <v>2025</v>
      </c>
      <c r="M2329" s="8" t="s">
        <v>13284</v>
      </c>
      <c r="N2329" s="8" t="s">
        <v>42</v>
      </c>
      <c r="O2329" s="8" t="s">
        <v>189</v>
      </c>
      <c r="P2329" s="6" t="s">
        <v>44</v>
      </c>
      <c r="Q2329" s="8" t="s">
        <v>45</v>
      </c>
      <c r="R2329" s="10" t="s">
        <v>13285</v>
      </c>
      <c r="S2329" s="11"/>
      <c r="T2329" s="6" t="s">
        <v>1080</v>
      </c>
      <c r="U2329" s="24" t="str">
        <f>HYPERLINK("https://media.infra-m.ru/2147/2147387/cover/2147387.jpg", "Обложка")</f>
        <v>Обложка</v>
      </c>
      <c r="V2329" s="24" t="str">
        <f>HYPERLINK("https://znanium.ru/catalog/product/2147387", "Ознакомиться")</f>
        <v>Ознакомиться</v>
      </c>
      <c r="W2329" s="8" t="s">
        <v>846</v>
      </c>
      <c r="X2329" s="6"/>
      <c r="Y2329" s="6"/>
      <c r="Z2329" s="6"/>
      <c r="AA2329" s="6" t="s">
        <v>159</v>
      </c>
      <c r="AB2329" s="8"/>
    </row>
    <row r="2330" spans="1:28" s="4" customFormat="1" ht="44.1" customHeight="1">
      <c r="A2330" s="5">
        <v>0</v>
      </c>
      <c r="B2330" s="6" t="s">
        <v>13286</v>
      </c>
      <c r="C2330" s="7">
        <v>1692</v>
      </c>
      <c r="D2330" s="8" t="s">
        <v>13287</v>
      </c>
      <c r="E2330" s="8" t="s">
        <v>13288</v>
      </c>
      <c r="F2330" s="8" t="s">
        <v>13289</v>
      </c>
      <c r="G2330" s="6" t="s">
        <v>81</v>
      </c>
      <c r="H2330" s="6" t="s">
        <v>39</v>
      </c>
      <c r="I2330" s="8" t="s">
        <v>40</v>
      </c>
      <c r="J2330" s="9">
        <v>1</v>
      </c>
      <c r="K2330" s="9">
        <v>282</v>
      </c>
      <c r="L2330" s="9">
        <v>2025</v>
      </c>
      <c r="M2330" s="8" t="s">
        <v>13290</v>
      </c>
      <c r="N2330" s="8" t="s">
        <v>42</v>
      </c>
      <c r="O2330" s="8" t="s">
        <v>65</v>
      </c>
      <c r="P2330" s="6" t="s">
        <v>44</v>
      </c>
      <c r="Q2330" s="8" t="s">
        <v>45</v>
      </c>
      <c r="R2330" s="10" t="s">
        <v>13291</v>
      </c>
      <c r="S2330" s="11"/>
      <c r="T2330" s="6"/>
      <c r="U2330" s="24" t="str">
        <f>HYPERLINK("https://media.infra-m.ru/2185/2185116/cover/2185116.jpg", "Обложка")</f>
        <v>Обложка</v>
      </c>
      <c r="V2330" s="24" t="str">
        <f>HYPERLINK("https://znanium.ru/catalog/product/2185116", "Ознакомиться")</f>
        <v>Ознакомиться</v>
      </c>
      <c r="W2330" s="8" t="s">
        <v>13292</v>
      </c>
      <c r="X2330" s="6"/>
      <c r="Y2330" s="6"/>
      <c r="Z2330" s="6"/>
      <c r="AA2330" s="6" t="s">
        <v>58</v>
      </c>
      <c r="AB2330" s="8" t="s">
        <v>634</v>
      </c>
    </row>
    <row r="2331" spans="1:28" s="4" customFormat="1" ht="51.95" customHeight="1">
      <c r="A2331" s="5">
        <v>0</v>
      </c>
      <c r="B2331" s="6" t="s">
        <v>13293</v>
      </c>
      <c r="C2331" s="7">
        <v>1776</v>
      </c>
      <c r="D2331" s="8" t="s">
        <v>13294</v>
      </c>
      <c r="E2331" s="8" t="s">
        <v>13295</v>
      </c>
      <c r="F2331" s="8" t="s">
        <v>5932</v>
      </c>
      <c r="G2331" s="6" t="s">
        <v>132</v>
      </c>
      <c r="H2331" s="6" t="s">
        <v>182</v>
      </c>
      <c r="I2331" s="8"/>
      <c r="J2331" s="9">
        <v>1</v>
      </c>
      <c r="K2331" s="9">
        <v>316</v>
      </c>
      <c r="L2331" s="9">
        <v>2024</v>
      </c>
      <c r="M2331" s="8" t="s">
        <v>13296</v>
      </c>
      <c r="N2331" s="8" t="s">
        <v>42</v>
      </c>
      <c r="O2331" s="8" t="s">
        <v>189</v>
      </c>
      <c r="P2331" s="6" t="s">
        <v>44</v>
      </c>
      <c r="Q2331" s="8" t="s">
        <v>45</v>
      </c>
      <c r="R2331" s="10" t="s">
        <v>1187</v>
      </c>
      <c r="S2331" s="11"/>
      <c r="T2331" s="6"/>
      <c r="U2331" s="24" t="str">
        <f>HYPERLINK("https://media.infra-m.ru/2116/2116954/cover/2116954.jpg", "Обложка")</f>
        <v>Обложка</v>
      </c>
      <c r="V2331" s="12"/>
      <c r="W2331" s="8" t="s">
        <v>3948</v>
      </c>
      <c r="X2331" s="6"/>
      <c r="Y2331" s="6"/>
      <c r="Z2331" s="6"/>
      <c r="AA2331" s="6" t="s">
        <v>58</v>
      </c>
      <c r="AB2331" s="8"/>
    </row>
    <row r="2332" spans="1:28" s="4" customFormat="1" ht="44.1" customHeight="1">
      <c r="A2332" s="5">
        <v>0</v>
      </c>
      <c r="B2332" s="6" t="s">
        <v>13297</v>
      </c>
      <c r="C2332" s="7">
        <v>1228.8</v>
      </c>
      <c r="D2332" s="8" t="s">
        <v>13298</v>
      </c>
      <c r="E2332" s="8" t="s">
        <v>13299</v>
      </c>
      <c r="F2332" s="8" t="s">
        <v>13300</v>
      </c>
      <c r="G2332" s="6" t="s">
        <v>38</v>
      </c>
      <c r="H2332" s="6" t="s">
        <v>326</v>
      </c>
      <c r="I2332" s="8"/>
      <c r="J2332" s="9">
        <v>1</v>
      </c>
      <c r="K2332" s="9">
        <v>205</v>
      </c>
      <c r="L2332" s="9">
        <v>2025</v>
      </c>
      <c r="M2332" s="8" t="s">
        <v>13301</v>
      </c>
      <c r="N2332" s="8" t="s">
        <v>54</v>
      </c>
      <c r="O2332" s="8" t="s">
        <v>117</v>
      </c>
      <c r="P2332" s="6" t="s">
        <v>44</v>
      </c>
      <c r="Q2332" s="8" t="s">
        <v>45</v>
      </c>
      <c r="R2332" s="10" t="s">
        <v>13302</v>
      </c>
      <c r="S2332" s="11"/>
      <c r="T2332" s="6"/>
      <c r="U2332" s="24" t="str">
        <f>HYPERLINK("https://media.infra-m.ru/2161/2161735/cover/2161735.jpg", "Обложка")</f>
        <v>Обложка</v>
      </c>
      <c r="V2332" s="24" t="str">
        <f>HYPERLINK("https://znanium.ru/catalog/product/2161735", "Ознакомиться")</f>
        <v>Ознакомиться</v>
      </c>
      <c r="W2332" s="8" t="s">
        <v>3107</v>
      </c>
      <c r="X2332" s="6"/>
      <c r="Y2332" s="6"/>
      <c r="Z2332" s="6"/>
      <c r="AA2332" s="6" t="s">
        <v>94</v>
      </c>
      <c r="AB2332" s="8"/>
    </row>
    <row r="2333" spans="1:28" s="4" customFormat="1" ht="44.1" customHeight="1">
      <c r="A2333" s="5">
        <v>0</v>
      </c>
      <c r="B2333" s="6" t="s">
        <v>13303</v>
      </c>
      <c r="C2333" s="7">
        <v>1380</v>
      </c>
      <c r="D2333" s="8" t="s">
        <v>13304</v>
      </c>
      <c r="E2333" s="8" t="s">
        <v>13305</v>
      </c>
      <c r="F2333" s="8" t="s">
        <v>13306</v>
      </c>
      <c r="G2333" s="6" t="s">
        <v>81</v>
      </c>
      <c r="H2333" s="6" t="s">
        <v>39</v>
      </c>
      <c r="I2333" s="8" t="s">
        <v>344</v>
      </c>
      <c r="J2333" s="9">
        <v>1</v>
      </c>
      <c r="K2333" s="9">
        <v>242</v>
      </c>
      <c r="L2333" s="9">
        <v>2024</v>
      </c>
      <c r="M2333" s="8" t="s">
        <v>13307</v>
      </c>
      <c r="N2333" s="8" t="s">
        <v>738</v>
      </c>
      <c r="O2333" s="8" t="s">
        <v>739</v>
      </c>
      <c r="P2333" s="6" t="s">
        <v>44</v>
      </c>
      <c r="Q2333" s="8" t="s">
        <v>45</v>
      </c>
      <c r="R2333" s="10" t="s">
        <v>13308</v>
      </c>
      <c r="S2333" s="11"/>
      <c r="T2333" s="6"/>
      <c r="U2333" s="24" t="str">
        <f>HYPERLINK("https://media.infra-m.ru/2132/2132498/cover/2132498.jpg", "Обложка")</f>
        <v>Обложка</v>
      </c>
      <c r="V2333" s="12"/>
      <c r="W2333" s="8" t="s">
        <v>346</v>
      </c>
      <c r="X2333" s="6"/>
      <c r="Y2333" s="6"/>
      <c r="Z2333" s="6"/>
      <c r="AA2333" s="6" t="s">
        <v>68</v>
      </c>
      <c r="AB2333" s="8"/>
    </row>
    <row r="2334" spans="1:28" s="4" customFormat="1" ht="42" customHeight="1">
      <c r="A2334" s="5">
        <v>0</v>
      </c>
      <c r="B2334" s="6" t="s">
        <v>13309</v>
      </c>
      <c r="C2334" s="13">
        <v>580.79999999999995</v>
      </c>
      <c r="D2334" s="8" t="s">
        <v>13310</v>
      </c>
      <c r="E2334" s="8" t="s">
        <v>13311</v>
      </c>
      <c r="F2334" s="8" t="s">
        <v>13312</v>
      </c>
      <c r="G2334" s="6" t="s">
        <v>38</v>
      </c>
      <c r="H2334" s="6" t="s">
        <v>39</v>
      </c>
      <c r="I2334" s="8" t="s">
        <v>40</v>
      </c>
      <c r="J2334" s="9">
        <v>1</v>
      </c>
      <c r="K2334" s="9">
        <v>104</v>
      </c>
      <c r="L2334" s="9">
        <v>2023</v>
      </c>
      <c r="M2334" s="8" t="s">
        <v>13313</v>
      </c>
      <c r="N2334" s="8" t="s">
        <v>42</v>
      </c>
      <c r="O2334" s="8" t="s">
        <v>189</v>
      </c>
      <c r="P2334" s="6" t="s">
        <v>44</v>
      </c>
      <c r="Q2334" s="8" t="s">
        <v>45</v>
      </c>
      <c r="R2334" s="10" t="s">
        <v>13314</v>
      </c>
      <c r="S2334" s="11"/>
      <c r="T2334" s="6"/>
      <c r="U2334" s="24" t="str">
        <f>HYPERLINK("https://media.infra-m.ru/2006/2006067/cover/2006067.jpg", "Обложка")</f>
        <v>Обложка</v>
      </c>
      <c r="V2334" s="24" t="str">
        <f>HYPERLINK("https://znanium.ru/catalog/product/987372", "Ознакомиться")</f>
        <v>Ознакомиться</v>
      </c>
      <c r="W2334" s="8" t="s">
        <v>207</v>
      </c>
      <c r="X2334" s="6"/>
      <c r="Y2334" s="6"/>
      <c r="Z2334" s="6"/>
      <c r="AA2334" s="6" t="s">
        <v>369</v>
      </c>
      <c r="AB2334" s="8"/>
    </row>
    <row r="2335" spans="1:28" s="4" customFormat="1" ht="42" customHeight="1">
      <c r="A2335" s="5">
        <v>0</v>
      </c>
      <c r="B2335" s="6" t="s">
        <v>13315</v>
      </c>
      <c r="C2335" s="13">
        <v>928.8</v>
      </c>
      <c r="D2335" s="8" t="s">
        <v>13316</v>
      </c>
      <c r="E2335" s="8" t="s">
        <v>13317</v>
      </c>
      <c r="F2335" s="8" t="s">
        <v>72</v>
      </c>
      <c r="G2335" s="6" t="s">
        <v>38</v>
      </c>
      <c r="H2335" s="6" t="s">
        <v>39</v>
      </c>
      <c r="I2335" s="8" t="s">
        <v>40</v>
      </c>
      <c r="J2335" s="9">
        <v>1</v>
      </c>
      <c r="K2335" s="9">
        <v>155</v>
      </c>
      <c r="L2335" s="9">
        <v>2025</v>
      </c>
      <c r="M2335" s="8" t="s">
        <v>13318</v>
      </c>
      <c r="N2335" s="8" t="s">
        <v>54</v>
      </c>
      <c r="O2335" s="8" t="s">
        <v>55</v>
      </c>
      <c r="P2335" s="6" t="s">
        <v>44</v>
      </c>
      <c r="Q2335" s="8" t="s">
        <v>45</v>
      </c>
      <c r="R2335" s="10" t="s">
        <v>1487</v>
      </c>
      <c r="S2335" s="11"/>
      <c r="T2335" s="6"/>
      <c r="U2335" s="24" t="str">
        <f>HYPERLINK("https://media.infra-m.ru/2188/2188195/cover/2188195.jpg", "Обложка")</f>
        <v>Обложка</v>
      </c>
      <c r="V2335" s="24" t="str">
        <f>HYPERLINK("https://znanium.ru/catalog/product/1012661", "Ознакомиться")</f>
        <v>Ознакомиться</v>
      </c>
      <c r="W2335" s="8" t="s">
        <v>75</v>
      </c>
      <c r="X2335" s="6"/>
      <c r="Y2335" s="6"/>
      <c r="Z2335" s="6"/>
      <c r="AA2335" s="6" t="s">
        <v>168</v>
      </c>
      <c r="AB2335" s="8"/>
    </row>
    <row r="2336" spans="1:28" s="4" customFormat="1" ht="42" customHeight="1">
      <c r="A2336" s="5">
        <v>0</v>
      </c>
      <c r="B2336" s="6" t="s">
        <v>13319</v>
      </c>
      <c r="C2336" s="7">
        <v>1284</v>
      </c>
      <c r="D2336" s="8" t="s">
        <v>13320</v>
      </c>
      <c r="E2336" s="8" t="s">
        <v>13321</v>
      </c>
      <c r="F2336" s="8" t="s">
        <v>13322</v>
      </c>
      <c r="G2336" s="6" t="s">
        <v>38</v>
      </c>
      <c r="H2336" s="6" t="s">
        <v>39</v>
      </c>
      <c r="I2336" s="8" t="s">
        <v>40</v>
      </c>
      <c r="J2336" s="9">
        <v>1</v>
      </c>
      <c r="K2336" s="9">
        <v>231</v>
      </c>
      <c r="L2336" s="9">
        <v>2024</v>
      </c>
      <c r="M2336" s="8" t="s">
        <v>13323</v>
      </c>
      <c r="N2336" s="8" t="s">
        <v>42</v>
      </c>
      <c r="O2336" s="8" t="s">
        <v>43</v>
      </c>
      <c r="P2336" s="6" t="s">
        <v>44</v>
      </c>
      <c r="Q2336" s="8" t="s">
        <v>45</v>
      </c>
      <c r="R2336" s="10" t="s">
        <v>1100</v>
      </c>
      <c r="S2336" s="11"/>
      <c r="T2336" s="6"/>
      <c r="U2336" s="24" t="str">
        <f>HYPERLINK("https://media.infra-m.ru/2082/2082662/cover/2082662.jpg", "Обложка")</f>
        <v>Обложка</v>
      </c>
      <c r="V2336" s="24" t="str">
        <f>HYPERLINK("https://znanium.ru/catalog/product/2082662", "Ознакомиться")</f>
        <v>Ознакомиться</v>
      </c>
      <c r="W2336" s="8" t="s">
        <v>10316</v>
      </c>
      <c r="X2336" s="6"/>
      <c r="Y2336" s="6"/>
      <c r="Z2336" s="6"/>
      <c r="AA2336" s="6" t="s">
        <v>58</v>
      </c>
      <c r="AB2336" s="8"/>
    </row>
    <row r="2337" spans="1:28" s="4" customFormat="1" ht="51.95" customHeight="1">
      <c r="A2337" s="5">
        <v>0</v>
      </c>
      <c r="B2337" s="6" t="s">
        <v>13324</v>
      </c>
      <c r="C2337" s="7">
        <v>3360</v>
      </c>
      <c r="D2337" s="8" t="s">
        <v>13325</v>
      </c>
      <c r="E2337" s="8" t="s">
        <v>13326</v>
      </c>
      <c r="F2337" s="8" t="s">
        <v>13327</v>
      </c>
      <c r="G2337" s="6" t="s">
        <v>132</v>
      </c>
      <c r="H2337" s="6" t="s">
        <v>99</v>
      </c>
      <c r="I2337" s="8"/>
      <c r="J2337" s="9">
        <v>1</v>
      </c>
      <c r="K2337" s="9">
        <v>608</v>
      </c>
      <c r="L2337" s="9">
        <v>2024</v>
      </c>
      <c r="M2337" s="8" t="s">
        <v>13328</v>
      </c>
      <c r="N2337" s="8" t="s">
        <v>42</v>
      </c>
      <c r="O2337" s="8" t="s">
        <v>101</v>
      </c>
      <c r="P2337" s="6" t="s">
        <v>44</v>
      </c>
      <c r="Q2337" s="8" t="s">
        <v>45</v>
      </c>
      <c r="R2337" s="10" t="s">
        <v>10791</v>
      </c>
      <c r="S2337" s="11"/>
      <c r="T2337" s="6"/>
      <c r="U2337" s="24" t="str">
        <f>HYPERLINK("https://media.infra-m.ru/2083/2083859/cover/2083859.jpg", "Обложка")</f>
        <v>Обложка</v>
      </c>
      <c r="V2337" s="24" t="str">
        <f>HYPERLINK("https://znanium.ru/catalog/product/2083859", "Ознакомиться")</f>
        <v>Ознакомиться</v>
      </c>
      <c r="W2337" s="8" t="s">
        <v>418</v>
      </c>
      <c r="X2337" s="6"/>
      <c r="Y2337" s="6"/>
      <c r="Z2337" s="6"/>
      <c r="AA2337" s="6" t="s">
        <v>111</v>
      </c>
      <c r="AB2337" s="8"/>
    </row>
    <row r="2338" spans="1:28" s="4" customFormat="1" ht="51.95" customHeight="1">
      <c r="A2338" s="5">
        <v>0</v>
      </c>
      <c r="B2338" s="6" t="s">
        <v>13329</v>
      </c>
      <c r="C2338" s="7">
        <v>3133.2</v>
      </c>
      <c r="D2338" s="8" t="s">
        <v>13330</v>
      </c>
      <c r="E2338" s="8" t="s">
        <v>13331</v>
      </c>
      <c r="F2338" s="8" t="s">
        <v>13332</v>
      </c>
      <c r="G2338" s="6" t="s">
        <v>132</v>
      </c>
      <c r="H2338" s="6" t="s">
        <v>99</v>
      </c>
      <c r="I2338" s="8"/>
      <c r="J2338" s="9">
        <v>1</v>
      </c>
      <c r="K2338" s="9">
        <v>568</v>
      </c>
      <c r="L2338" s="9">
        <v>2024</v>
      </c>
      <c r="M2338" s="8" t="s">
        <v>13333</v>
      </c>
      <c r="N2338" s="8" t="s">
        <v>42</v>
      </c>
      <c r="O2338" s="8" t="s">
        <v>101</v>
      </c>
      <c r="P2338" s="6" t="s">
        <v>44</v>
      </c>
      <c r="Q2338" s="8" t="s">
        <v>45</v>
      </c>
      <c r="R2338" s="10" t="s">
        <v>13334</v>
      </c>
      <c r="S2338" s="11"/>
      <c r="T2338" s="6"/>
      <c r="U2338" s="24" t="str">
        <f>HYPERLINK("https://media.infra-m.ru/2125/2125422/cover/2125422.jpg", "Обложка")</f>
        <v>Обложка</v>
      </c>
      <c r="V2338" s="24" t="str">
        <f>HYPERLINK("https://znanium.ru/catalog/product/2125422", "Ознакомиться")</f>
        <v>Ознакомиться</v>
      </c>
      <c r="W2338" s="8" t="s">
        <v>2281</v>
      </c>
      <c r="X2338" s="6"/>
      <c r="Y2338" s="6"/>
      <c r="Z2338" s="6"/>
      <c r="AA2338" s="6" t="s">
        <v>111</v>
      </c>
      <c r="AB2338" s="8"/>
    </row>
    <row r="2339" spans="1:28" s="4" customFormat="1" ht="42" customHeight="1">
      <c r="A2339" s="5">
        <v>0</v>
      </c>
      <c r="B2339" s="6" t="s">
        <v>13335</v>
      </c>
      <c r="C2339" s="7">
        <v>2992.8</v>
      </c>
      <c r="D2339" s="8" t="s">
        <v>13336</v>
      </c>
      <c r="E2339" s="8" t="s">
        <v>13337</v>
      </c>
      <c r="F2339" s="8" t="s">
        <v>13338</v>
      </c>
      <c r="G2339" s="6" t="s">
        <v>81</v>
      </c>
      <c r="H2339" s="6" t="s">
        <v>99</v>
      </c>
      <c r="I2339" s="8"/>
      <c r="J2339" s="9">
        <v>1</v>
      </c>
      <c r="K2339" s="9">
        <v>480</v>
      </c>
      <c r="L2339" s="9">
        <v>2025</v>
      </c>
      <c r="M2339" s="8" t="s">
        <v>13339</v>
      </c>
      <c r="N2339" s="8" t="s">
        <v>42</v>
      </c>
      <c r="O2339" s="8" t="s">
        <v>101</v>
      </c>
      <c r="P2339" s="6" t="s">
        <v>44</v>
      </c>
      <c r="Q2339" s="8" t="s">
        <v>45</v>
      </c>
      <c r="R2339" s="10" t="s">
        <v>564</v>
      </c>
      <c r="S2339" s="11"/>
      <c r="T2339" s="6"/>
      <c r="U2339" s="24" t="str">
        <f>HYPERLINK("https://media.infra-m.ru/2204/2204051/cover/2204051.jpg", "Обложка")</f>
        <v>Обложка</v>
      </c>
      <c r="V2339" s="24" t="str">
        <f>HYPERLINK("https://znanium.ru/catalog/product/1993592", "Ознакомиться")</f>
        <v>Ознакомиться</v>
      </c>
      <c r="W2339" s="8" t="s">
        <v>2138</v>
      </c>
      <c r="X2339" s="6"/>
      <c r="Y2339" s="6"/>
      <c r="Z2339" s="6"/>
      <c r="AA2339" s="6" t="s">
        <v>68</v>
      </c>
      <c r="AB2339" s="8"/>
    </row>
    <row r="2340" spans="1:28" s="4" customFormat="1" ht="51.95" customHeight="1">
      <c r="A2340" s="5">
        <v>0</v>
      </c>
      <c r="B2340" s="6" t="s">
        <v>13340</v>
      </c>
      <c r="C2340" s="7">
        <v>4614</v>
      </c>
      <c r="D2340" s="8" t="s">
        <v>13341</v>
      </c>
      <c r="E2340" s="8" t="s">
        <v>13342</v>
      </c>
      <c r="F2340" s="8" t="s">
        <v>13343</v>
      </c>
      <c r="G2340" s="6" t="s">
        <v>132</v>
      </c>
      <c r="H2340" s="6" t="s">
        <v>39</v>
      </c>
      <c r="I2340" s="8"/>
      <c r="J2340" s="9">
        <v>1</v>
      </c>
      <c r="K2340" s="9">
        <v>271</v>
      </c>
      <c r="L2340" s="9">
        <v>2025</v>
      </c>
      <c r="M2340" s="8" t="s">
        <v>13344</v>
      </c>
      <c r="N2340" s="8" t="s">
        <v>42</v>
      </c>
      <c r="O2340" s="8" t="s">
        <v>101</v>
      </c>
      <c r="P2340" s="6" t="s">
        <v>44</v>
      </c>
      <c r="Q2340" s="8" t="s">
        <v>45</v>
      </c>
      <c r="R2340" s="10" t="s">
        <v>1939</v>
      </c>
      <c r="S2340" s="11"/>
      <c r="T2340" s="6"/>
      <c r="U2340" s="24" t="str">
        <f>HYPERLINK("https://media.infra-m.ru/2231/2231250/cover/2231250.jpg", "Обложка")</f>
        <v>Обложка</v>
      </c>
      <c r="V2340" s="24" t="str">
        <f>HYPERLINK("https://znanium.ru/catalog/product/2223770", "Ознакомиться")</f>
        <v>Ознакомиться</v>
      </c>
      <c r="W2340" s="8"/>
      <c r="X2340" s="6" t="s">
        <v>1094</v>
      </c>
      <c r="Y2340" s="6"/>
      <c r="Z2340" s="6"/>
      <c r="AA2340" s="6" t="s">
        <v>159</v>
      </c>
      <c r="AB2340" s="8"/>
    </row>
    <row r="2341" spans="1:28" s="4" customFormat="1" ht="42" customHeight="1">
      <c r="A2341" s="5">
        <v>0</v>
      </c>
      <c r="B2341" s="6" t="s">
        <v>13345</v>
      </c>
      <c r="C2341" s="7">
        <v>1284</v>
      </c>
      <c r="D2341" s="8" t="s">
        <v>13346</v>
      </c>
      <c r="E2341" s="8" t="s">
        <v>13347</v>
      </c>
      <c r="F2341" s="8" t="s">
        <v>4043</v>
      </c>
      <c r="G2341" s="6" t="s">
        <v>38</v>
      </c>
      <c r="H2341" s="6" t="s">
        <v>39</v>
      </c>
      <c r="I2341" s="8" t="s">
        <v>40</v>
      </c>
      <c r="J2341" s="9">
        <v>1</v>
      </c>
      <c r="K2341" s="9">
        <v>273</v>
      </c>
      <c r="L2341" s="9">
        <v>2022</v>
      </c>
      <c r="M2341" s="8" t="s">
        <v>13348</v>
      </c>
      <c r="N2341" s="8" t="s">
        <v>42</v>
      </c>
      <c r="O2341" s="8" t="s">
        <v>65</v>
      </c>
      <c r="P2341" s="6" t="s">
        <v>44</v>
      </c>
      <c r="Q2341" s="8" t="s">
        <v>45</v>
      </c>
      <c r="R2341" s="10" t="s">
        <v>175</v>
      </c>
      <c r="S2341" s="11"/>
      <c r="T2341" s="6"/>
      <c r="U2341" s="24" t="str">
        <f>HYPERLINK("https://media.infra-m.ru/1840/1840175/cover/1840175.jpg", "Обложка")</f>
        <v>Обложка</v>
      </c>
      <c r="V2341" s="24" t="str">
        <f>HYPERLINK("https://znanium.ru/catalog/product/1840175", "Ознакомиться")</f>
        <v>Ознакомиться</v>
      </c>
      <c r="W2341" s="8" t="s">
        <v>214</v>
      </c>
      <c r="X2341" s="6"/>
      <c r="Y2341" s="6"/>
      <c r="Z2341" s="6"/>
      <c r="AA2341" s="6" t="s">
        <v>111</v>
      </c>
      <c r="AB2341" s="8"/>
    </row>
    <row r="2342" spans="1:28" s="4" customFormat="1" ht="42" customHeight="1">
      <c r="A2342" s="5">
        <v>0</v>
      </c>
      <c r="B2342" s="6" t="s">
        <v>13349</v>
      </c>
      <c r="C2342" s="7">
        <v>1824</v>
      </c>
      <c r="D2342" s="8" t="s">
        <v>13350</v>
      </c>
      <c r="E2342" s="8" t="s">
        <v>13351</v>
      </c>
      <c r="F2342" s="8" t="s">
        <v>13352</v>
      </c>
      <c r="G2342" s="6" t="s">
        <v>81</v>
      </c>
      <c r="H2342" s="6" t="s">
        <v>39</v>
      </c>
      <c r="I2342" s="8" t="s">
        <v>40</v>
      </c>
      <c r="J2342" s="9">
        <v>1</v>
      </c>
      <c r="K2342" s="9">
        <v>303</v>
      </c>
      <c r="L2342" s="9">
        <v>2025</v>
      </c>
      <c r="M2342" s="8" t="s">
        <v>13353</v>
      </c>
      <c r="N2342" s="8" t="s">
        <v>42</v>
      </c>
      <c r="O2342" s="8" t="s">
        <v>1035</v>
      </c>
      <c r="P2342" s="6" t="s">
        <v>44</v>
      </c>
      <c r="Q2342" s="8" t="s">
        <v>45</v>
      </c>
      <c r="R2342" s="10" t="s">
        <v>13354</v>
      </c>
      <c r="S2342" s="11"/>
      <c r="T2342" s="6"/>
      <c r="U2342" s="24" t="str">
        <f>HYPERLINK("https://media.infra-m.ru/2171/2171222/cover/2171222.jpg", "Обложка")</f>
        <v>Обложка</v>
      </c>
      <c r="V2342" s="24" t="str">
        <f>HYPERLINK("https://znanium.ru/catalog/product/2171222", "Ознакомиться")</f>
        <v>Ознакомиться</v>
      </c>
      <c r="W2342" s="8" t="s">
        <v>10170</v>
      </c>
      <c r="X2342" s="6"/>
      <c r="Y2342" s="6"/>
      <c r="Z2342" s="6"/>
      <c r="AA2342" s="6" t="s">
        <v>168</v>
      </c>
      <c r="AB2342" s="8"/>
    </row>
    <row r="2343" spans="1:28" s="4" customFormat="1" ht="51.95" customHeight="1">
      <c r="A2343" s="5">
        <v>0</v>
      </c>
      <c r="B2343" s="6" t="s">
        <v>13355</v>
      </c>
      <c r="C2343" s="7">
        <v>1704</v>
      </c>
      <c r="D2343" s="8" t="s">
        <v>13356</v>
      </c>
      <c r="E2343" s="8" t="s">
        <v>13357</v>
      </c>
      <c r="F2343" s="8" t="s">
        <v>13358</v>
      </c>
      <c r="G2343" s="6" t="s">
        <v>81</v>
      </c>
      <c r="H2343" s="6" t="s">
        <v>39</v>
      </c>
      <c r="I2343" s="8" t="s">
        <v>828</v>
      </c>
      <c r="J2343" s="9">
        <v>1</v>
      </c>
      <c r="K2343" s="9">
        <v>300</v>
      </c>
      <c r="L2343" s="9">
        <v>2024</v>
      </c>
      <c r="M2343" s="8" t="s">
        <v>13359</v>
      </c>
      <c r="N2343" s="8" t="s">
        <v>42</v>
      </c>
      <c r="O2343" s="8" t="s">
        <v>1035</v>
      </c>
      <c r="P2343" s="6" t="s">
        <v>659</v>
      </c>
      <c r="Q2343" s="8" t="s">
        <v>287</v>
      </c>
      <c r="R2343" s="10" t="s">
        <v>13360</v>
      </c>
      <c r="S2343" s="11"/>
      <c r="T2343" s="6"/>
      <c r="U2343" s="24" t="str">
        <f>HYPERLINK("https://media.infra-m.ru/2142/2142446/cover/2142446.jpg", "Обложка")</f>
        <v>Обложка</v>
      </c>
      <c r="V2343" s="24" t="str">
        <f>HYPERLINK("https://znanium.ru/catalog/product/2142446", "Ознакомиться")</f>
        <v>Ознакомиться</v>
      </c>
      <c r="W2343" s="8" t="s">
        <v>207</v>
      </c>
      <c r="X2343" s="6"/>
      <c r="Y2343" s="6"/>
      <c r="Z2343" s="6"/>
      <c r="AA2343" s="6" t="s">
        <v>76</v>
      </c>
      <c r="AB2343" s="8"/>
    </row>
    <row r="2344" spans="1:28" s="4" customFormat="1" ht="51.95" customHeight="1">
      <c r="A2344" s="5">
        <v>0</v>
      </c>
      <c r="B2344" s="6" t="s">
        <v>13361</v>
      </c>
      <c r="C2344" s="7">
        <v>1744.8</v>
      </c>
      <c r="D2344" s="8" t="s">
        <v>13362</v>
      </c>
      <c r="E2344" s="8" t="s">
        <v>13363</v>
      </c>
      <c r="F2344" s="8" t="s">
        <v>13364</v>
      </c>
      <c r="G2344" s="6" t="s">
        <v>38</v>
      </c>
      <c r="H2344" s="6" t="s">
        <v>39</v>
      </c>
      <c r="I2344" s="8" t="s">
        <v>40</v>
      </c>
      <c r="J2344" s="9">
        <v>1</v>
      </c>
      <c r="K2344" s="9">
        <v>280</v>
      </c>
      <c r="L2344" s="9">
        <v>2025</v>
      </c>
      <c r="M2344" s="8" t="s">
        <v>13365</v>
      </c>
      <c r="N2344" s="8" t="s">
        <v>42</v>
      </c>
      <c r="O2344" s="8" t="s">
        <v>189</v>
      </c>
      <c r="P2344" s="6" t="s">
        <v>44</v>
      </c>
      <c r="Q2344" s="8" t="s">
        <v>45</v>
      </c>
      <c r="R2344" s="10" t="s">
        <v>13366</v>
      </c>
      <c r="S2344" s="11"/>
      <c r="T2344" s="6"/>
      <c r="U2344" s="24" t="str">
        <f>HYPERLINK("https://media.infra-m.ru/2193/2193089/cover/2193089.jpg", "Обложка")</f>
        <v>Обложка</v>
      </c>
      <c r="V2344" s="24" t="str">
        <f>HYPERLINK("https://znanium.ru/catalog/product/978142", "Ознакомиться")</f>
        <v>Ознакомиться</v>
      </c>
      <c r="W2344" s="8" t="s">
        <v>1413</v>
      </c>
      <c r="X2344" s="6"/>
      <c r="Y2344" s="6"/>
      <c r="Z2344" s="6"/>
      <c r="AA2344" s="6" t="s">
        <v>241</v>
      </c>
      <c r="AB2344" s="8"/>
    </row>
    <row r="2345" spans="1:28" s="4" customFormat="1" ht="51.95" customHeight="1">
      <c r="A2345" s="5">
        <v>0</v>
      </c>
      <c r="B2345" s="6" t="s">
        <v>13367</v>
      </c>
      <c r="C2345" s="13">
        <v>516</v>
      </c>
      <c r="D2345" s="8" t="s">
        <v>13368</v>
      </c>
      <c r="E2345" s="8" t="s">
        <v>13369</v>
      </c>
      <c r="F2345" s="8" t="s">
        <v>13370</v>
      </c>
      <c r="G2345" s="6" t="s">
        <v>38</v>
      </c>
      <c r="H2345" s="6" t="s">
        <v>39</v>
      </c>
      <c r="I2345" s="8" t="s">
        <v>40</v>
      </c>
      <c r="J2345" s="9">
        <v>1</v>
      </c>
      <c r="K2345" s="9">
        <v>72</v>
      </c>
      <c r="L2345" s="9">
        <v>2025</v>
      </c>
      <c r="M2345" s="8" t="s">
        <v>13371</v>
      </c>
      <c r="N2345" s="8" t="s">
        <v>229</v>
      </c>
      <c r="O2345" s="8" t="s">
        <v>230</v>
      </c>
      <c r="P2345" s="6" t="s">
        <v>44</v>
      </c>
      <c r="Q2345" s="8" t="s">
        <v>45</v>
      </c>
      <c r="R2345" s="10" t="s">
        <v>13372</v>
      </c>
      <c r="S2345" s="11"/>
      <c r="T2345" s="6"/>
      <c r="U2345" s="24" t="str">
        <f>HYPERLINK("https://media.infra-m.ru/2191/2191611/cover/2191611.jpg", "Обложка")</f>
        <v>Обложка</v>
      </c>
      <c r="V2345" s="24" t="str">
        <f>HYPERLINK("https://znanium.ru/catalog/product/2191611", "Ознакомиться")</f>
        <v>Ознакомиться</v>
      </c>
      <c r="W2345" s="8" t="s">
        <v>491</v>
      </c>
      <c r="X2345" s="6"/>
      <c r="Y2345" s="6"/>
      <c r="Z2345" s="6"/>
      <c r="AA2345" s="6" t="s">
        <v>536</v>
      </c>
      <c r="AB2345" s="8"/>
    </row>
    <row r="2346" spans="1:28" s="4" customFormat="1" ht="33" customHeight="1">
      <c r="A2346" s="5">
        <v>0</v>
      </c>
      <c r="B2346" s="6" t="s">
        <v>13373</v>
      </c>
      <c r="C2346" s="7">
        <v>1584</v>
      </c>
      <c r="D2346" s="8" t="s">
        <v>13374</v>
      </c>
      <c r="E2346" s="8" t="s">
        <v>13375</v>
      </c>
      <c r="F2346" s="8" t="s">
        <v>13376</v>
      </c>
      <c r="G2346" s="6" t="s">
        <v>132</v>
      </c>
      <c r="H2346" s="6" t="s">
        <v>39</v>
      </c>
      <c r="I2346" s="8" t="s">
        <v>40</v>
      </c>
      <c r="J2346" s="9">
        <v>1</v>
      </c>
      <c r="K2346" s="9">
        <v>432</v>
      </c>
      <c r="L2346" s="9">
        <v>2018</v>
      </c>
      <c r="M2346" s="8" t="s">
        <v>13377</v>
      </c>
      <c r="N2346" s="8" t="s">
        <v>42</v>
      </c>
      <c r="O2346" s="8" t="s">
        <v>65</v>
      </c>
      <c r="P2346" s="6" t="s">
        <v>44</v>
      </c>
      <c r="Q2346" s="8" t="s">
        <v>45</v>
      </c>
      <c r="R2346" s="10" t="s">
        <v>10267</v>
      </c>
      <c r="S2346" s="11"/>
      <c r="T2346" s="6"/>
      <c r="U2346" s="12"/>
      <c r="V2346" s="24" t="str">
        <f>HYPERLINK("https://znanium.ru/catalog/product/1386511", "Ознакомиться")</f>
        <v>Ознакомиться</v>
      </c>
      <c r="W2346" s="8" t="s">
        <v>6857</v>
      </c>
      <c r="X2346" s="6"/>
      <c r="Y2346" s="6"/>
      <c r="Z2346" s="6"/>
      <c r="AA2346" s="6" t="s">
        <v>13378</v>
      </c>
      <c r="AB2346" s="8"/>
    </row>
    <row r="2347" spans="1:28" s="4" customFormat="1" ht="51.95" customHeight="1">
      <c r="A2347" s="5">
        <v>0</v>
      </c>
      <c r="B2347" s="6" t="s">
        <v>13379</v>
      </c>
      <c r="C2347" s="13">
        <v>612</v>
      </c>
      <c r="D2347" s="8" t="s">
        <v>13380</v>
      </c>
      <c r="E2347" s="8" t="s">
        <v>13381</v>
      </c>
      <c r="F2347" s="8" t="s">
        <v>4675</v>
      </c>
      <c r="G2347" s="6" t="s">
        <v>38</v>
      </c>
      <c r="H2347" s="6" t="s">
        <v>182</v>
      </c>
      <c r="I2347" s="8"/>
      <c r="J2347" s="9">
        <v>1</v>
      </c>
      <c r="K2347" s="9">
        <v>144</v>
      </c>
      <c r="L2347" s="9">
        <v>2020</v>
      </c>
      <c r="M2347" s="8" t="s">
        <v>13382</v>
      </c>
      <c r="N2347" s="8" t="s">
        <v>42</v>
      </c>
      <c r="O2347" s="8" t="s">
        <v>1035</v>
      </c>
      <c r="P2347" s="6" t="s">
        <v>44</v>
      </c>
      <c r="Q2347" s="8" t="s">
        <v>45</v>
      </c>
      <c r="R2347" s="10" t="s">
        <v>13383</v>
      </c>
      <c r="S2347" s="11"/>
      <c r="T2347" s="6"/>
      <c r="U2347" s="24" t="str">
        <f>HYPERLINK("https://media.infra-m.ru/1039/1039275/cover/1039275.jpg", "Обложка")</f>
        <v>Обложка</v>
      </c>
      <c r="V2347" s="24" t="str">
        <f>HYPERLINK("https://znanium.ru/catalog/product/2080779", "Ознакомиться")</f>
        <v>Ознакомиться</v>
      </c>
      <c r="W2347" s="8" t="s">
        <v>4826</v>
      </c>
      <c r="X2347" s="6"/>
      <c r="Y2347" s="6"/>
      <c r="Z2347" s="6"/>
      <c r="AA2347" s="6" t="s">
        <v>1494</v>
      </c>
      <c r="AB2347" s="8"/>
    </row>
    <row r="2348" spans="1:28" s="4" customFormat="1" ht="51.95" customHeight="1">
      <c r="A2348" s="5">
        <v>0</v>
      </c>
      <c r="B2348" s="6" t="s">
        <v>13384</v>
      </c>
      <c r="C2348" s="13">
        <v>936</v>
      </c>
      <c r="D2348" s="8" t="s">
        <v>13385</v>
      </c>
      <c r="E2348" s="8" t="s">
        <v>13386</v>
      </c>
      <c r="F2348" s="8" t="s">
        <v>4675</v>
      </c>
      <c r="G2348" s="6" t="s">
        <v>38</v>
      </c>
      <c r="H2348" s="6" t="s">
        <v>182</v>
      </c>
      <c r="I2348" s="8" t="s">
        <v>40</v>
      </c>
      <c r="J2348" s="9">
        <v>1</v>
      </c>
      <c r="K2348" s="9">
        <v>162</v>
      </c>
      <c r="L2348" s="9">
        <v>2024</v>
      </c>
      <c r="M2348" s="8" t="s">
        <v>13387</v>
      </c>
      <c r="N2348" s="8" t="s">
        <v>42</v>
      </c>
      <c r="O2348" s="8" t="s">
        <v>1035</v>
      </c>
      <c r="P2348" s="6" t="s">
        <v>44</v>
      </c>
      <c r="Q2348" s="8" t="s">
        <v>45</v>
      </c>
      <c r="R2348" s="10" t="s">
        <v>13383</v>
      </c>
      <c r="S2348" s="11"/>
      <c r="T2348" s="6"/>
      <c r="U2348" s="24" t="str">
        <f>HYPERLINK("https://media.infra-m.ru/2080/2080779/cover/2080779.jpg", "Обложка")</f>
        <v>Обложка</v>
      </c>
      <c r="V2348" s="24" t="str">
        <f>HYPERLINK("https://znanium.ru/catalog/product/2080779", "Ознакомиться")</f>
        <v>Ознакомиться</v>
      </c>
      <c r="W2348" s="8" t="s">
        <v>4826</v>
      </c>
      <c r="X2348" s="6"/>
      <c r="Y2348" s="6"/>
      <c r="Z2348" s="6"/>
      <c r="AA2348" s="6" t="s">
        <v>8978</v>
      </c>
      <c r="AB2348" s="8"/>
    </row>
    <row r="2349" spans="1:28" s="4" customFormat="1" ht="42" customHeight="1">
      <c r="A2349" s="5">
        <v>0</v>
      </c>
      <c r="B2349" s="6" t="s">
        <v>13388</v>
      </c>
      <c r="C2349" s="7">
        <v>1056</v>
      </c>
      <c r="D2349" s="8" t="s">
        <v>13389</v>
      </c>
      <c r="E2349" s="8" t="s">
        <v>13390</v>
      </c>
      <c r="F2349" s="8" t="s">
        <v>4414</v>
      </c>
      <c r="G2349" s="6" t="s">
        <v>38</v>
      </c>
      <c r="H2349" s="6" t="s">
        <v>39</v>
      </c>
      <c r="I2349" s="8" t="s">
        <v>40</v>
      </c>
      <c r="J2349" s="9">
        <v>1</v>
      </c>
      <c r="K2349" s="9">
        <v>250</v>
      </c>
      <c r="L2349" s="9">
        <v>2020</v>
      </c>
      <c r="M2349" s="8" t="s">
        <v>13391</v>
      </c>
      <c r="N2349" s="8" t="s">
        <v>42</v>
      </c>
      <c r="O2349" s="8" t="s">
        <v>101</v>
      </c>
      <c r="P2349" s="6" t="s">
        <v>44</v>
      </c>
      <c r="Q2349" s="8" t="s">
        <v>45</v>
      </c>
      <c r="R2349" s="10" t="s">
        <v>564</v>
      </c>
      <c r="S2349" s="11"/>
      <c r="T2349" s="6"/>
      <c r="U2349" s="24" t="str">
        <f>HYPERLINK("https://media.infra-m.ru/1078/1078364/cover/1078364.jpg", "Обложка")</f>
        <v>Обложка</v>
      </c>
      <c r="V2349" s="24" t="str">
        <f>HYPERLINK("https://znanium.ru/catalog/product/1078364", "Ознакомиться")</f>
        <v>Ознакомиться</v>
      </c>
      <c r="W2349" s="8" t="s">
        <v>1627</v>
      </c>
      <c r="X2349" s="6"/>
      <c r="Y2349" s="6"/>
      <c r="Z2349" s="6"/>
      <c r="AA2349" s="6" t="s">
        <v>127</v>
      </c>
      <c r="AB2349" s="8"/>
    </row>
    <row r="2350" spans="1:28" s="4" customFormat="1" ht="42" customHeight="1">
      <c r="A2350" s="5">
        <v>0</v>
      </c>
      <c r="B2350" s="6" t="s">
        <v>13392</v>
      </c>
      <c r="C2350" s="7">
        <v>2396.4</v>
      </c>
      <c r="D2350" s="8" t="s">
        <v>13393</v>
      </c>
      <c r="E2350" s="8" t="s">
        <v>13394</v>
      </c>
      <c r="F2350" s="8" t="s">
        <v>13395</v>
      </c>
      <c r="G2350" s="6" t="s">
        <v>38</v>
      </c>
      <c r="H2350" s="6" t="s">
        <v>39</v>
      </c>
      <c r="I2350" s="8" t="s">
        <v>40</v>
      </c>
      <c r="J2350" s="9">
        <v>1</v>
      </c>
      <c r="K2350" s="9">
        <v>307</v>
      </c>
      <c r="L2350" s="9">
        <v>2024</v>
      </c>
      <c r="M2350" s="8" t="s">
        <v>13396</v>
      </c>
      <c r="N2350" s="8" t="s">
        <v>284</v>
      </c>
      <c r="O2350" s="8" t="s">
        <v>285</v>
      </c>
      <c r="P2350" s="6" t="s">
        <v>44</v>
      </c>
      <c r="Q2350" s="8" t="s">
        <v>45</v>
      </c>
      <c r="R2350" s="10" t="s">
        <v>6238</v>
      </c>
      <c r="S2350" s="11"/>
      <c r="T2350" s="6"/>
      <c r="U2350" s="24" t="str">
        <f>HYPERLINK("https://media.infra-m.ru/2141/2141171/cover/2141171.jpg", "Обложка")</f>
        <v>Обложка</v>
      </c>
      <c r="V2350" s="24" t="str">
        <f>HYPERLINK("https://znanium.ru/catalog/product/2122427", "Ознакомиться")</f>
        <v>Ознакомиться</v>
      </c>
      <c r="W2350" s="8" t="s">
        <v>191</v>
      </c>
      <c r="X2350" s="6"/>
      <c r="Y2350" s="6"/>
      <c r="Z2350" s="6"/>
      <c r="AA2350" s="6" t="s">
        <v>58</v>
      </c>
      <c r="AB2350" s="8"/>
    </row>
    <row r="2351" spans="1:28" s="4" customFormat="1" ht="51.95" customHeight="1">
      <c r="A2351" s="5">
        <v>0</v>
      </c>
      <c r="B2351" s="6" t="s">
        <v>13397</v>
      </c>
      <c r="C2351" s="13">
        <v>984</v>
      </c>
      <c r="D2351" s="8" t="s">
        <v>13398</v>
      </c>
      <c r="E2351" s="8" t="s">
        <v>13399</v>
      </c>
      <c r="F2351" s="8" t="s">
        <v>13400</v>
      </c>
      <c r="G2351" s="6" t="s">
        <v>38</v>
      </c>
      <c r="H2351" s="6" t="s">
        <v>39</v>
      </c>
      <c r="I2351" s="8" t="s">
        <v>40</v>
      </c>
      <c r="J2351" s="9">
        <v>1</v>
      </c>
      <c r="K2351" s="9">
        <v>164</v>
      </c>
      <c r="L2351" s="9">
        <v>2024</v>
      </c>
      <c r="M2351" s="8" t="s">
        <v>13401</v>
      </c>
      <c r="N2351" s="8" t="s">
        <v>42</v>
      </c>
      <c r="O2351" s="8" t="s">
        <v>101</v>
      </c>
      <c r="P2351" s="6" t="s">
        <v>44</v>
      </c>
      <c r="Q2351" s="8" t="s">
        <v>45</v>
      </c>
      <c r="R2351" s="10" t="s">
        <v>13402</v>
      </c>
      <c r="S2351" s="11"/>
      <c r="T2351" s="6"/>
      <c r="U2351" s="24" t="str">
        <f>HYPERLINK("https://media.infra-m.ru/2141/2141391/cover/2141391.jpg", "Обложка")</f>
        <v>Обложка</v>
      </c>
      <c r="V2351" s="24" t="str">
        <f>HYPERLINK("https://znanium.ru/catalog/product/2141391", "Ознакомиться")</f>
        <v>Ознакомиться</v>
      </c>
      <c r="W2351" s="8" t="s">
        <v>13403</v>
      </c>
      <c r="X2351" s="6"/>
      <c r="Y2351" s="6"/>
      <c r="Z2351" s="6"/>
      <c r="AA2351" s="6" t="s">
        <v>119</v>
      </c>
      <c r="AB2351" s="8"/>
    </row>
    <row r="2352" spans="1:28" s="4" customFormat="1" ht="51.95" customHeight="1">
      <c r="A2352" s="5">
        <v>0</v>
      </c>
      <c r="B2352" s="6" t="s">
        <v>13404</v>
      </c>
      <c r="C2352" s="7">
        <v>1284</v>
      </c>
      <c r="D2352" s="8" t="s">
        <v>13405</v>
      </c>
      <c r="E2352" s="8" t="s">
        <v>13406</v>
      </c>
      <c r="F2352" s="8" t="s">
        <v>13407</v>
      </c>
      <c r="G2352" s="6" t="s">
        <v>38</v>
      </c>
      <c r="H2352" s="6" t="s">
        <v>39</v>
      </c>
      <c r="I2352" s="8" t="s">
        <v>40</v>
      </c>
      <c r="J2352" s="9">
        <v>1</v>
      </c>
      <c r="K2352" s="9">
        <v>208</v>
      </c>
      <c r="L2352" s="9">
        <v>2025</v>
      </c>
      <c r="M2352" s="8" t="s">
        <v>13408</v>
      </c>
      <c r="N2352" s="8" t="s">
        <v>42</v>
      </c>
      <c r="O2352" s="8" t="s">
        <v>101</v>
      </c>
      <c r="P2352" s="6" t="s">
        <v>44</v>
      </c>
      <c r="Q2352" s="8" t="s">
        <v>45</v>
      </c>
      <c r="R2352" s="10" t="s">
        <v>10006</v>
      </c>
      <c r="S2352" s="11"/>
      <c r="T2352" s="6"/>
      <c r="U2352" s="24" t="str">
        <f>HYPERLINK("https://media.infra-m.ru/2141/2141101/cover/2141101.jpg", "Обложка")</f>
        <v>Обложка</v>
      </c>
      <c r="V2352" s="24" t="str">
        <f>HYPERLINK("https://znanium.ru/catalog/product/2141101", "Ознакомиться")</f>
        <v>Ознакомиться</v>
      </c>
      <c r="W2352" s="8" t="s">
        <v>13409</v>
      </c>
      <c r="X2352" s="6"/>
      <c r="Y2352" s="6"/>
      <c r="Z2352" s="6"/>
      <c r="AA2352" s="6" t="s">
        <v>159</v>
      </c>
      <c r="AB2352" s="8"/>
    </row>
    <row r="2353" spans="1:28" s="4" customFormat="1" ht="42" customHeight="1">
      <c r="A2353" s="5">
        <v>0</v>
      </c>
      <c r="B2353" s="6" t="s">
        <v>13410</v>
      </c>
      <c r="C2353" s="7">
        <v>2932.8</v>
      </c>
      <c r="D2353" s="8" t="s">
        <v>13411</v>
      </c>
      <c r="E2353" s="8" t="s">
        <v>13412</v>
      </c>
      <c r="F2353" s="8" t="s">
        <v>13413</v>
      </c>
      <c r="G2353" s="6" t="s">
        <v>132</v>
      </c>
      <c r="H2353" s="6" t="s">
        <v>3369</v>
      </c>
      <c r="I2353" s="8" t="s">
        <v>3186</v>
      </c>
      <c r="J2353" s="9">
        <v>1</v>
      </c>
      <c r="K2353" s="9">
        <v>658</v>
      </c>
      <c r="L2353" s="9">
        <v>2025</v>
      </c>
      <c r="M2353" s="8" t="s">
        <v>13414</v>
      </c>
      <c r="N2353" s="8" t="s">
        <v>42</v>
      </c>
      <c r="O2353" s="8" t="s">
        <v>101</v>
      </c>
      <c r="P2353" s="6" t="s">
        <v>44</v>
      </c>
      <c r="Q2353" s="8" t="s">
        <v>45</v>
      </c>
      <c r="R2353" s="10" t="s">
        <v>874</v>
      </c>
      <c r="S2353" s="11"/>
      <c r="T2353" s="6"/>
      <c r="U2353" s="24" t="str">
        <f>HYPERLINK("https://media.infra-m.ru/2185/2185899/cover/2185899.jpg", "Обложка")</f>
        <v>Обложка</v>
      </c>
      <c r="V2353" s="12"/>
      <c r="W2353" s="8" t="s">
        <v>3188</v>
      </c>
      <c r="X2353" s="6"/>
      <c r="Y2353" s="6"/>
      <c r="Z2353" s="6"/>
      <c r="AA2353" s="6" t="s">
        <v>5215</v>
      </c>
      <c r="AB2353" s="8"/>
    </row>
    <row r="2354" spans="1:28" s="4" customFormat="1" ht="51.95" customHeight="1">
      <c r="A2354" s="5">
        <v>0</v>
      </c>
      <c r="B2354" s="6" t="s">
        <v>13415</v>
      </c>
      <c r="C2354" s="7">
        <v>1116</v>
      </c>
      <c r="D2354" s="8" t="s">
        <v>13416</v>
      </c>
      <c r="E2354" s="8" t="s">
        <v>13417</v>
      </c>
      <c r="F2354" s="8" t="s">
        <v>13418</v>
      </c>
      <c r="G2354" s="6" t="s">
        <v>132</v>
      </c>
      <c r="H2354" s="6" t="s">
        <v>39</v>
      </c>
      <c r="I2354" s="8" t="s">
        <v>40</v>
      </c>
      <c r="J2354" s="9">
        <v>1</v>
      </c>
      <c r="K2354" s="9">
        <v>166</v>
      </c>
      <c r="L2354" s="9">
        <v>2025</v>
      </c>
      <c r="M2354" s="8" t="s">
        <v>13419</v>
      </c>
      <c r="N2354" s="8" t="s">
        <v>42</v>
      </c>
      <c r="O2354" s="8" t="s">
        <v>101</v>
      </c>
      <c r="P2354" s="6" t="s">
        <v>44</v>
      </c>
      <c r="Q2354" s="8" t="s">
        <v>45</v>
      </c>
      <c r="R2354" s="10" t="s">
        <v>1329</v>
      </c>
      <c r="S2354" s="11"/>
      <c r="T2354" s="6"/>
      <c r="U2354" s="24" t="str">
        <f>HYPERLINK("https://media.infra-m.ru/2155/2155926/cover/2155926.jpg", "Обложка")</f>
        <v>Обложка</v>
      </c>
      <c r="V2354" s="24" t="str">
        <f>HYPERLINK("https://znanium.ru/catalog/product/2155926", "Ознакомиться")</f>
        <v>Ознакомиться</v>
      </c>
      <c r="W2354" s="8" t="s">
        <v>1779</v>
      </c>
      <c r="X2354" s="6"/>
      <c r="Y2354" s="6"/>
      <c r="Z2354" s="6"/>
      <c r="AA2354" s="6" t="s">
        <v>159</v>
      </c>
      <c r="AB2354" s="8"/>
    </row>
    <row r="2355" spans="1:28" s="4" customFormat="1" ht="42" customHeight="1">
      <c r="A2355" s="5">
        <v>0</v>
      </c>
      <c r="B2355" s="6" t="s">
        <v>13420</v>
      </c>
      <c r="C2355" s="7">
        <v>1944</v>
      </c>
      <c r="D2355" s="8" t="s">
        <v>13421</v>
      </c>
      <c r="E2355" s="8" t="s">
        <v>13422</v>
      </c>
      <c r="F2355" s="8" t="s">
        <v>13423</v>
      </c>
      <c r="G2355" s="6" t="s">
        <v>81</v>
      </c>
      <c r="H2355" s="6" t="s">
        <v>39</v>
      </c>
      <c r="I2355" s="8" t="s">
        <v>40</v>
      </c>
      <c r="J2355" s="9">
        <v>1</v>
      </c>
      <c r="K2355" s="9">
        <v>351</v>
      </c>
      <c r="L2355" s="9">
        <v>2023</v>
      </c>
      <c r="M2355" s="8" t="s">
        <v>13424</v>
      </c>
      <c r="N2355" s="8" t="s">
        <v>42</v>
      </c>
      <c r="O2355" s="8" t="s">
        <v>101</v>
      </c>
      <c r="P2355" s="6" t="s">
        <v>44</v>
      </c>
      <c r="Q2355" s="8" t="s">
        <v>45</v>
      </c>
      <c r="R2355" s="10" t="s">
        <v>6682</v>
      </c>
      <c r="S2355" s="11"/>
      <c r="T2355" s="6"/>
      <c r="U2355" s="24" t="str">
        <f>HYPERLINK("https://media.infra-m.ru/2127/2127013/cover/2127013.jpg", "Обложка")</f>
        <v>Обложка</v>
      </c>
      <c r="V2355" s="24" t="str">
        <f>HYPERLINK("https://znanium.ru/catalog/product/2127013", "Ознакомиться")</f>
        <v>Ознакомиться</v>
      </c>
      <c r="W2355" s="8" t="s">
        <v>5670</v>
      </c>
      <c r="X2355" s="6"/>
      <c r="Y2355" s="6"/>
      <c r="Z2355" s="6"/>
      <c r="AA2355" s="6" t="s">
        <v>424</v>
      </c>
      <c r="AB2355" s="8"/>
    </row>
    <row r="2356" spans="1:28" s="4" customFormat="1" ht="42" customHeight="1">
      <c r="A2356" s="5">
        <v>0</v>
      </c>
      <c r="B2356" s="6" t="s">
        <v>13425</v>
      </c>
      <c r="C2356" s="7">
        <v>1068</v>
      </c>
      <c r="D2356" s="8" t="s">
        <v>13426</v>
      </c>
      <c r="E2356" s="8" t="s">
        <v>13427</v>
      </c>
      <c r="F2356" s="8" t="s">
        <v>13423</v>
      </c>
      <c r="G2356" s="6" t="s">
        <v>38</v>
      </c>
      <c r="H2356" s="6" t="s">
        <v>39</v>
      </c>
      <c r="I2356" s="8" t="s">
        <v>40</v>
      </c>
      <c r="J2356" s="9">
        <v>1</v>
      </c>
      <c r="K2356" s="9">
        <v>227</v>
      </c>
      <c r="L2356" s="9">
        <v>2022</v>
      </c>
      <c r="M2356" s="8" t="s">
        <v>13428</v>
      </c>
      <c r="N2356" s="8" t="s">
        <v>42</v>
      </c>
      <c r="O2356" s="8" t="s">
        <v>101</v>
      </c>
      <c r="P2356" s="6" t="s">
        <v>44</v>
      </c>
      <c r="Q2356" s="8" t="s">
        <v>45</v>
      </c>
      <c r="R2356" s="10" t="s">
        <v>6682</v>
      </c>
      <c r="S2356" s="11"/>
      <c r="T2356" s="6"/>
      <c r="U2356" s="24" t="str">
        <f>HYPERLINK("https://media.infra-m.ru/1816/1816360/cover/1816360.jpg", "Обложка")</f>
        <v>Обложка</v>
      </c>
      <c r="V2356" s="24" t="str">
        <f>HYPERLINK("https://znanium.ru/catalog/product/2127013", "Ознакомиться")</f>
        <v>Ознакомиться</v>
      </c>
      <c r="W2356" s="8" t="s">
        <v>5670</v>
      </c>
      <c r="X2356" s="6"/>
      <c r="Y2356" s="6"/>
      <c r="Z2356" s="6"/>
      <c r="AA2356" s="6" t="s">
        <v>76</v>
      </c>
      <c r="AB2356" s="8"/>
    </row>
    <row r="2357" spans="1:28" s="4" customFormat="1" ht="42" customHeight="1">
      <c r="A2357" s="5">
        <v>0</v>
      </c>
      <c r="B2357" s="6" t="s">
        <v>13429</v>
      </c>
      <c r="C2357" s="7">
        <v>1804.8</v>
      </c>
      <c r="D2357" s="8" t="s">
        <v>13430</v>
      </c>
      <c r="E2357" s="8" t="s">
        <v>13431</v>
      </c>
      <c r="F2357" s="8" t="s">
        <v>12011</v>
      </c>
      <c r="G2357" s="6" t="s">
        <v>132</v>
      </c>
      <c r="H2357" s="6" t="s">
        <v>99</v>
      </c>
      <c r="I2357" s="8"/>
      <c r="J2357" s="9">
        <v>1</v>
      </c>
      <c r="K2357" s="9">
        <v>288</v>
      </c>
      <c r="L2357" s="9">
        <v>2025</v>
      </c>
      <c r="M2357" s="8" t="s">
        <v>13432</v>
      </c>
      <c r="N2357" s="8" t="s">
        <v>42</v>
      </c>
      <c r="O2357" s="8" t="s">
        <v>101</v>
      </c>
      <c r="P2357" s="6" t="s">
        <v>44</v>
      </c>
      <c r="Q2357" s="8" t="s">
        <v>45</v>
      </c>
      <c r="R2357" s="10" t="s">
        <v>5449</v>
      </c>
      <c r="S2357" s="11"/>
      <c r="T2357" s="6"/>
      <c r="U2357" s="24" t="str">
        <f>HYPERLINK("https://media.infra-m.ru/2203/2203176/cover/2203176.jpg", "Обложка")</f>
        <v>Обложка</v>
      </c>
      <c r="V2357" s="24" t="str">
        <f>HYPERLINK("https://znanium.ru/catalog/product/1893198", "Ознакомиться")</f>
        <v>Ознакомиться</v>
      </c>
      <c r="W2357" s="8" t="s">
        <v>418</v>
      </c>
      <c r="X2357" s="6"/>
      <c r="Y2357" s="6"/>
      <c r="Z2357" s="6"/>
      <c r="AA2357" s="6" t="s">
        <v>111</v>
      </c>
      <c r="AB2357" s="8"/>
    </row>
    <row r="2358" spans="1:28" s="4" customFormat="1" ht="51.95" customHeight="1">
      <c r="A2358" s="5">
        <v>0</v>
      </c>
      <c r="B2358" s="6" t="s">
        <v>13433</v>
      </c>
      <c r="C2358" s="7">
        <v>1320</v>
      </c>
      <c r="D2358" s="8" t="s">
        <v>13434</v>
      </c>
      <c r="E2358" s="8" t="s">
        <v>13435</v>
      </c>
      <c r="F2358" s="8" t="s">
        <v>13436</v>
      </c>
      <c r="G2358" s="6" t="s">
        <v>132</v>
      </c>
      <c r="H2358" s="6" t="s">
        <v>39</v>
      </c>
      <c r="I2358" s="8" t="s">
        <v>828</v>
      </c>
      <c r="J2358" s="9">
        <v>1</v>
      </c>
      <c r="K2358" s="9">
        <v>217</v>
      </c>
      <c r="L2358" s="9">
        <v>2024</v>
      </c>
      <c r="M2358" s="8" t="s">
        <v>13437</v>
      </c>
      <c r="N2358" s="8" t="s">
        <v>42</v>
      </c>
      <c r="O2358" s="8" t="s">
        <v>101</v>
      </c>
      <c r="P2358" s="6" t="s">
        <v>659</v>
      </c>
      <c r="Q2358" s="8" t="s">
        <v>45</v>
      </c>
      <c r="R2358" s="10" t="s">
        <v>13438</v>
      </c>
      <c r="S2358" s="11"/>
      <c r="T2358" s="6"/>
      <c r="U2358" s="24" t="str">
        <f>HYPERLINK("https://media.infra-m.ru/1946/1946243/cover/1946243.jpg", "Обложка")</f>
        <v>Обложка</v>
      </c>
      <c r="V2358" s="24" t="str">
        <f>HYPERLINK("https://znanium.ru/catalog/product/1946243", "Ознакомиться")</f>
        <v>Ознакомиться</v>
      </c>
      <c r="W2358" s="8" t="s">
        <v>2473</v>
      </c>
      <c r="X2358" s="6"/>
      <c r="Y2358" s="6"/>
      <c r="Z2358" s="6"/>
      <c r="AA2358" s="6" t="s">
        <v>58</v>
      </c>
      <c r="AB2358" s="8"/>
    </row>
    <row r="2359" spans="1:28" s="4" customFormat="1" ht="42" customHeight="1">
      <c r="A2359" s="5">
        <v>0</v>
      </c>
      <c r="B2359" s="6" t="s">
        <v>13439</v>
      </c>
      <c r="C2359" s="7">
        <v>2148</v>
      </c>
      <c r="D2359" s="8" t="s">
        <v>13440</v>
      </c>
      <c r="E2359" s="8" t="s">
        <v>13441</v>
      </c>
      <c r="F2359" s="8" t="s">
        <v>9469</v>
      </c>
      <c r="G2359" s="6" t="s">
        <v>132</v>
      </c>
      <c r="H2359" s="6" t="s">
        <v>39</v>
      </c>
      <c r="I2359" s="8" t="s">
        <v>40</v>
      </c>
      <c r="J2359" s="9">
        <v>1</v>
      </c>
      <c r="K2359" s="9">
        <v>379</v>
      </c>
      <c r="L2359" s="9">
        <v>2024</v>
      </c>
      <c r="M2359" s="8" t="s">
        <v>13442</v>
      </c>
      <c r="N2359" s="8" t="s">
        <v>42</v>
      </c>
      <c r="O2359" s="8" t="s">
        <v>101</v>
      </c>
      <c r="P2359" s="6" t="s">
        <v>44</v>
      </c>
      <c r="Q2359" s="8" t="s">
        <v>45</v>
      </c>
      <c r="R2359" s="10" t="s">
        <v>2490</v>
      </c>
      <c r="S2359" s="11"/>
      <c r="T2359" s="6"/>
      <c r="U2359" s="24" t="str">
        <f>HYPERLINK("https://media.infra-m.ru/2100/2100002/cover/2100002.jpg", "Обложка")</f>
        <v>Обложка</v>
      </c>
      <c r="V2359" s="24" t="str">
        <f>HYPERLINK("https://znanium.ru/catalog/product/2100002", "Ознакомиться")</f>
        <v>Ознакомиться</v>
      </c>
      <c r="W2359" s="8" t="s">
        <v>2448</v>
      </c>
      <c r="X2359" s="6"/>
      <c r="Y2359" s="6"/>
      <c r="Z2359" s="6"/>
      <c r="AA2359" s="6" t="s">
        <v>58</v>
      </c>
      <c r="AB2359" s="8"/>
    </row>
    <row r="2360" spans="1:28" s="4" customFormat="1" ht="44.1" customHeight="1">
      <c r="A2360" s="5">
        <v>0</v>
      </c>
      <c r="B2360" s="6" t="s">
        <v>13443</v>
      </c>
      <c r="C2360" s="7">
        <v>1044</v>
      </c>
      <c r="D2360" s="8" t="s">
        <v>13444</v>
      </c>
      <c r="E2360" s="8" t="s">
        <v>13445</v>
      </c>
      <c r="F2360" s="8" t="s">
        <v>13446</v>
      </c>
      <c r="G2360" s="6" t="s">
        <v>38</v>
      </c>
      <c r="H2360" s="6" t="s">
        <v>39</v>
      </c>
      <c r="I2360" s="8" t="s">
        <v>40</v>
      </c>
      <c r="J2360" s="9">
        <v>1</v>
      </c>
      <c r="K2360" s="9">
        <v>175</v>
      </c>
      <c r="L2360" s="9">
        <v>2024</v>
      </c>
      <c r="M2360" s="8" t="s">
        <v>13447</v>
      </c>
      <c r="N2360" s="8" t="s">
        <v>42</v>
      </c>
      <c r="O2360" s="8" t="s">
        <v>101</v>
      </c>
      <c r="P2360" s="6" t="s">
        <v>44</v>
      </c>
      <c r="Q2360" s="8" t="s">
        <v>45</v>
      </c>
      <c r="R2360" s="10" t="s">
        <v>692</v>
      </c>
      <c r="S2360" s="11"/>
      <c r="T2360" s="6"/>
      <c r="U2360" s="24" t="str">
        <f>HYPERLINK("https://media.infra-m.ru/2134/2134241/cover/2134241.jpg", "Обложка")</f>
        <v>Обложка</v>
      </c>
      <c r="V2360" s="24" t="str">
        <f>HYPERLINK("https://znanium.ru/catalog/product/2134241", "Ознакомиться")</f>
        <v>Ознакомиться</v>
      </c>
      <c r="W2360" s="8" t="s">
        <v>13448</v>
      </c>
      <c r="X2360" s="6"/>
      <c r="Y2360" s="6"/>
      <c r="Z2360" s="6"/>
      <c r="AA2360" s="6" t="s">
        <v>58</v>
      </c>
      <c r="AB2360" s="8"/>
    </row>
    <row r="2361" spans="1:28" s="4" customFormat="1" ht="42" customHeight="1">
      <c r="A2361" s="5">
        <v>0</v>
      </c>
      <c r="B2361" s="6" t="s">
        <v>13449</v>
      </c>
      <c r="C2361" s="7">
        <v>1228.8</v>
      </c>
      <c r="D2361" s="8" t="s">
        <v>13450</v>
      </c>
      <c r="E2361" s="8" t="s">
        <v>13451</v>
      </c>
      <c r="F2361" s="8" t="s">
        <v>13452</v>
      </c>
      <c r="G2361" s="6" t="s">
        <v>132</v>
      </c>
      <c r="H2361" s="6" t="s">
        <v>3369</v>
      </c>
      <c r="I2361" s="8" t="s">
        <v>3186</v>
      </c>
      <c r="J2361" s="9">
        <v>1</v>
      </c>
      <c r="K2361" s="9">
        <v>197</v>
      </c>
      <c r="L2361" s="9">
        <v>2025</v>
      </c>
      <c r="M2361" s="8" t="s">
        <v>13453</v>
      </c>
      <c r="N2361" s="8" t="s">
        <v>42</v>
      </c>
      <c r="O2361" s="8" t="s">
        <v>101</v>
      </c>
      <c r="P2361" s="6" t="s">
        <v>44</v>
      </c>
      <c r="Q2361" s="8" t="s">
        <v>45</v>
      </c>
      <c r="R2361" s="10" t="s">
        <v>874</v>
      </c>
      <c r="S2361" s="11"/>
      <c r="T2361" s="6"/>
      <c r="U2361" s="24" t="str">
        <f>HYPERLINK("https://media.infra-m.ru/2196/2196883/cover/2196883.jpg", "Обложка")</f>
        <v>Обложка</v>
      </c>
      <c r="V2361" s="24" t="str">
        <f>HYPERLINK("https://znanium.ru/catalog/product/1215353", "Ознакомиться")</f>
        <v>Ознакомиться</v>
      </c>
      <c r="W2361" s="8" t="s">
        <v>3188</v>
      </c>
      <c r="X2361" s="6"/>
      <c r="Y2361" s="6"/>
      <c r="Z2361" s="6"/>
      <c r="AA2361" s="6" t="s">
        <v>241</v>
      </c>
      <c r="AB2361" s="8"/>
    </row>
    <row r="2362" spans="1:28" s="4" customFormat="1" ht="42" customHeight="1">
      <c r="A2362" s="5">
        <v>0</v>
      </c>
      <c r="B2362" s="6" t="s">
        <v>13454</v>
      </c>
      <c r="C2362" s="7">
        <v>1632</v>
      </c>
      <c r="D2362" s="8" t="s">
        <v>13455</v>
      </c>
      <c r="E2362" s="8" t="s">
        <v>13456</v>
      </c>
      <c r="F2362" s="8" t="s">
        <v>13457</v>
      </c>
      <c r="G2362" s="6" t="s">
        <v>38</v>
      </c>
      <c r="H2362" s="6" t="s">
        <v>39</v>
      </c>
      <c r="I2362" s="8" t="s">
        <v>40</v>
      </c>
      <c r="J2362" s="9">
        <v>1</v>
      </c>
      <c r="K2362" s="9">
        <v>271</v>
      </c>
      <c r="L2362" s="9">
        <v>2025</v>
      </c>
      <c r="M2362" s="8" t="s">
        <v>13458</v>
      </c>
      <c r="N2362" s="8" t="s">
        <v>284</v>
      </c>
      <c r="O2362" s="8" t="s">
        <v>285</v>
      </c>
      <c r="P2362" s="6" t="s">
        <v>44</v>
      </c>
      <c r="Q2362" s="8" t="s">
        <v>45</v>
      </c>
      <c r="R2362" s="10" t="s">
        <v>8169</v>
      </c>
      <c r="S2362" s="11"/>
      <c r="T2362" s="6"/>
      <c r="U2362" s="24" t="str">
        <f>HYPERLINK("https://media.infra-m.ru/2163/2163980/cover/2163980.jpg", "Обложка")</f>
        <v>Обложка</v>
      </c>
      <c r="V2362" s="24" t="str">
        <f>HYPERLINK("https://znanium.ru/catalog/product/1912392", "Ознакомиться")</f>
        <v>Ознакомиться</v>
      </c>
      <c r="W2362" s="8" t="s">
        <v>2080</v>
      </c>
      <c r="X2362" s="6"/>
      <c r="Y2362" s="6"/>
      <c r="Z2362" s="6"/>
      <c r="AA2362" s="6" t="s">
        <v>290</v>
      </c>
      <c r="AB2362" s="8"/>
    </row>
    <row r="2363" spans="1:28" s="4" customFormat="1" ht="42" customHeight="1">
      <c r="A2363" s="5">
        <v>0</v>
      </c>
      <c r="B2363" s="6" t="s">
        <v>13459</v>
      </c>
      <c r="C2363" s="7">
        <v>1409.9</v>
      </c>
      <c r="D2363" s="8" t="s">
        <v>13460</v>
      </c>
      <c r="E2363" s="8" t="s">
        <v>13461</v>
      </c>
      <c r="F2363" s="8" t="s">
        <v>13462</v>
      </c>
      <c r="G2363" s="6" t="s">
        <v>38</v>
      </c>
      <c r="H2363" s="6" t="s">
        <v>39</v>
      </c>
      <c r="I2363" s="8" t="s">
        <v>40</v>
      </c>
      <c r="J2363" s="9">
        <v>1</v>
      </c>
      <c r="K2363" s="9">
        <v>262</v>
      </c>
      <c r="L2363" s="9">
        <v>2023</v>
      </c>
      <c r="M2363" s="8" t="s">
        <v>13463</v>
      </c>
      <c r="N2363" s="8" t="s">
        <v>42</v>
      </c>
      <c r="O2363" s="8" t="s">
        <v>246</v>
      </c>
      <c r="P2363" s="6" t="s">
        <v>44</v>
      </c>
      <c r="Q2363" s="8" t="s">
        <v>45</v>
      </c>
      <c r="R2363" s="10" t="s">
        <v>13464</v>
      </c>
      <c r="S2363" s="11"/>
      <c r="T2363" s="6"/>
      <c r="U2363" s="24" t="str">
        <f>HYPERLINK("https://media.infra-m.ru/2044/2044323/cover/2044323.jpg", "Обложка")</f>
        <v>Обложка</v>
      </c>
      <c r="V2363" s="24" t="str">
        <f>HYPERLINK("https://znanium.ru/catalog/product/1058832", "Ознакомиться")</f>
        <v>Ознакомиться</v>
      </c>
      <c r="W2363" s="8" t="s">
        <v>1323</v>
      </c>
      <c r="X2363" s="6"/>
      <c r="Y2363" s="6"/>
      <c r="Z2363" s="6"/>
      <c r="AA2363" s="6" t="s">
        <v>199</v>
      </c>
      <c r="AB2363" s="8"/>
    </row>
    <row r="2364" spans="1:28" s="4" customFormat="1" ht="51.95" customHeight="1">
      <c r="A2364" s="5">
        <v>0</v>
      </c>
      <c r="B2364" s="6" t="s">
        <v>13465</v>
      </c>
      <c r="C2364" s="7">
        <v>1560</v>
      </c>
      <c r="D2364" s="8" t="s">
        <v>13466</v>
      </c>
      <c r="E2364" s="8" t="s">
        <v>13467</v>
      </c>
      <c r="F2364" s="8"/>
      <c r="G2364" s="6" t="s">
        <v>132</v>
      </c>
      <c r="H2364" s="6" t="s">
        <v>39</v>
      </c>
      <c r="I2364" s="8"/>
      <c r="J2364" s="9">
        <v>1</v>
      </c>
      <c r="K2364" s="9">
        <v>396</v>
      </c>
      <c r="L2364" s="9">
        <v>2025</v>
      </c>
      <c r="M2364" s="8" t="s">
        <v>13468</v>
      </c>
      <c r="N2364" s="8" t="s">
        <v>42</v>
      </c>
      <c r="O2364" s="8" t="s">
        <v>101</v>
      </c>
      <c r="P2364" s="6" t="s">
        <v>4494</v>
      </c>
      <c r="Q2364" s="8" t="s">
        <v>45</v>
      </c>
      <c r="R2364" s="10" t="s">
        <v>13469</v>
      </c>
      <c r="S2364" s="11"/>
      <c r="T2364" s="6"/>
      <c r="U2364" s="24" t="str">
        <f>HYPERLINK("https://media.infra-m.ru/2065/2065353/cover/2065353.jpg", "Обложка")</f>
        <v>Обложка</v>
      </c>
      <c r="V2364" s="12"/>
      <c r="W2364" s="8"/>
      <c r="X2364" s="6" t="s">
        <v>1094</v>
      </c>
      <c r="Y2364" s="6"/>
      <c r="Z2364" s="6"/>
      <c r="AA2364" s="6" t="s">
        <v>159</v>
      </c>
      <c r="AB2364" s="8"/>
    </row>
    <row r="2365" spans="1:28" s="4" customFormat="1" ht="44.1" customHeight="1">
      <c r="A2365" s="5">
        <v>0</v>
      </c>
      <c r="B2365" s="6" t="s">
        <v>13470</v>
      </c>
      <c r="C2365" s="7">
        <v>1716</v>
      </c>
      <c r="D2365" s="8" t="s">
        <v>13471</v>
      </c>
      <c r="E2365" s="8" t="s">
        <v>13472</v>
      </c>
      <c r="F2365" s="8" t="s">
        <v>13289</v>
      </c>
      <c r="G2365" s="6" t="s">
        <v>81</v>
      </c>
      <c r="H2365" s="6" t="s">
        <v>39</v>
      </c>
      <c r="I2365" s="8" t="s">
        <v>40</v>
      </c>
      <c r="J2365" s="9">
        <v>1</v>
      </c>
      <c r="K2365" s="9">
        <v>275</v>
      </c>
      <c r="L2365" s="9">
        <v>2026</v>
      </c>
      <c r="M2365" s="8" t="s">
        <v>13473</v>
      </c>
      <c r="N2365" s="8" t="s">
        <v>42</v>
      </c>
      <c r="O2365" s="8" t="s">
        <v>65</v>
      </c>
      <c r="P2365" s="6" t="s">
        <v>44</v>
      </c>
      <c r="Q2365" s="8" t="s">
        <v>45</v>
      </c>
      <c r="R2365" s="10" t="s">
        <v>13474</v>
      </c>
      <c r="S2365" s="11"/>
      <c r="T2365" s="6"/>
      <c r="U2365" s="24" t="str">
        <f>HYPERLINK("https://media.infra-m.ru/2212/2212473/cover/2212473.jpg", "Обложка")</f>
        <v>Обложка</v>
      </c>
      <c r="V2365" s="24" t="str">
        <f>HYPERLINK("https://znanium.ru/catalog/product/2212473", "Ознакомиться")</f>
        <v>Ознакомиться</v>
      </c>
      <c r="W2365" s="8" t="s">
        <v>13292</v>
      </c>
      <c r="X2365" s="6"/>
      <c r="Y2365" s="6"/>
      <c r="Z2365" s="6"/>
      <c r="AA2365" s="6" t="s">
        <v>58</v>
      </c>
      <c r="AB2365" s="8"/>
    </row>
    <row r="2366" spans="1:28" s="4" customFormat="1" ht="44.1" customHeight="1">
      <c r="A2366" s="5">
        <v>0</v>
      </c>
      <c r="B2366" s="6" t="s">
        <v>13475</v>
      </c>
      <c r="C2366" s="7">
        <v>2380.8000000000002</v>
      </c>
      <c r="D2366" s="8" t="s">
        <v>13476</v>
      </c>
      <c r="E2366" s="8" t="s">
        <v>13477</v>
      </c>
      <c r="F2366" s="8" t="s">
        <v>13478</v>
      </c>
      <c r="G2366" s="6" t="s">
        <v>132</v>
      </c>
      <c r="H2366" s="6" t="s">
        <v>39</v>
      </c>
      <c r="I2366" s="8" t="s">
        <v>40</v>
      </c>
      <c r="J2366" s="9">
        <v>1</v>
      </c>
      <c r="K2366" s="9">
        <v>395</v>
      </c>
      <c r="L2366" s="9">
        <v>2025</v>
      </c>
      <c r="M2366" s="8" t="s">
        <v>13479</v>
      </c>
      <c r="N2366" s="8" t="s">
        <v>42</v>
      </c>
      <c r="O2366" s="8" t="s">
        <v>1315</v>
      </c>
      <c r="P2366" s="6" t="s">
        <v>44</v>
      </c>
      <c r="Q2366" s="8" t="s">
        <v>45</v>
      </c>
      <c r="R2366" s="10" t="s">
        <v>13480</v>
      </c>
      <c r="S2366" s="11"/>
      <c r="T2366" s="6"/>
      <c r="U2366" s="24" t="str">
        <f>HYPERLINK("https://media.infra-m.ru/2184/2184533/cover/2184533.jpg", "Обложка")</f>
        <v>Обложка</v>
      </c>
      <c r="V2366" s="24" t="str">
        <f>HYPERLINK("https://znanium.ru/catalog/product/2143087", "Ознакомиться")</f>
        <v>Ознакомиться</v>
      </c>
      <c r="W2366" s="8" t="s">
        <v>13481</v>
      </c>
      <c r="X2366" s="6"/>
      <c r="Y2366" s="6"/>
      <c r="Z2366" s="6"/>
      <c r="AA2366" s="6" t="s">
        <v>159</v>
      </c>
      <c r="AB2366" s="8"/>
    </row>
    <row r="2367" spans="1:28" s="4" customFormat="1" ht="42" customHeight="1">
      <c r="A2367" s="5">
        <v>0</v>
      </c>
      <c r="B2367" s="6" t="s">
        <v>13482</v>
      </c>
      <c r="C2367" s="13">
        <v>984</v>
      </c>
      <c r="D2367" s="8" t="s">
        <v>13483</v>
      </c>
      <c r="E2367" s="8" t="s">
        <v>13484</v>
      </c>
      <c r="F2367" s="8" t="s">
        <v>13485</v>
      </c>
      <c r="G2367" s="6" t="s">
        <v>38</v>
      </c>
      <c r="H2367" s="6" t="s">
        <v>39</v>
      </c>
      <c r="I2367" s="8" t="s">
        <v>40</v>
      </c>
      <c r="J2367" s="9">
        <v>1</v>
      </c>
      <c r="K2367" s="9">
        <v>156</v>
      </c>
      <c r="L2367" s="9">
        <v>2022</v>
      </c>
      <c r="M2367" s="8" t="s">
        <v>13486</v>
      </c>
      <c r="N2367" s="8" t="s">
        <v>284</v>
      </c>
      <c r="O2367" s="8" t="s">
        <v>285</v>
      </c>
      <c r="P2367" s="6" t="s">
        <v>44</v>
      </c>
      <c r="Q2367" s="8" t="s">
        <v>45</v>
      </c>
      <c r="R2367" s="10" t="s">
        <v>1615</v>
      </c>
      <c r="S2367" s="11"/>
      <c r="T2367" s="6"/>
      <c r="U2367" s="24" t="str">
        <f>HYPERLINK("https://media.infra-m.ru/1859/1859961/cover/1859961.jpg", "Обложка")</f>
        <v>Обложка</v>
      </c>
      <c r="V2367" s="24" t="str">
        <f>HYPERLINK("https://znanium.ru/catalog/product/1859961", "Ознакомиться")</f>
        <v>Ознакомиться</v>
      </c>
      <c r="W2367" s="8" t="s">
        <v>791</v>
      </c>
      <c r="X2367" s="6"/>
      <c r="Y2367" s="6"/>
      <c r="Z2367" s="6"/>
      <c r="AA2367" s="6" t="s">
        <v>111</v>
      </c>
      <c r="AB2367" s="8"/>
    </row>
    <row r="2368" spans="1:28" s="4" customFormat="1" ht="42" customHeight="1">
      <c r="A2368" s="5">
        <v>0</v>
      </c>
      <c r="B2368" s="6" t="s">
        <v>13487</v>
      </c>
      <c r="C2368" s="7">
        <v>1056</v>
      </c>
      <c r="D2368" s="8" t="s">
        <v>13488</v>
      </c>
      <c r="E2368" s="8" t="s">
        <v>13489</v>
      </c>
      <c r="F2368" s="8" t="s">
        <v>697</v>
      </c>
      <c r="G2368" s="6" t="s">
        <v>38</v>
      </c>
      <c r="H2368" s="6" t="s">
        <v>39</v>
      </c>
      <c r="I2368" s="8" t="s">
        <v>40</v>
      </c>
      <c r="J2368" s="9">
        <v>1</v>
      </c>
      <c r="K2368" s="9">
        <v>224</v>
      </c>
      <c r="L2368" s="9">
        <v>2022</v>
      </c>
      <c r="M2368" s="8" t="s">
        <v>13490</v>
      </c>
      <c r="N2368" s="8" t="s">
        <v>54</v>
      </c>
      <c r="O2368" s="8" t="s">
        <v>91</v>
      </c>
      <c r="P2368" s="6" t="s">
        <v>44</v>
      </c>
      <c r="Q2368" s="8" t="s">
        <v>45</v>
      </c>
      <c r="R2368" s="10" t="s">
        <v>3174</v>
      </c>
      <c r="S2368" s="11"/>
      <c r="T2368" s="6"/>
      <c r="U2368" s="24" t="str">
        <f>HYPERLINK("https://media.infra-m.ru/1840/1840173/cover/1840173.jpg", "Обложка")</f>
        <v>Обложка</v>
      </c>
      <c r="V2368" s="24" t="str">
        <f>HYPERLINK("https://znanium.ru/catalog/product/1840173", "Ознакомиться")</f>
        <v>Ознакомиться</v>
      </c>
      <c r="W2368" s="8" t="s">
        <v>699</v>
      </c>
      <c r="X2368" s="6"/>
      <c r="Y2368" s="6"/>
      <c r="Z2368" s="6"/>
      <c r="AA2368" s="6" t="s">
        <v>111</v>
      </c>
      <c r="AB2368" s="8"/>
    </row>
    <row r="2369" spans="1:28" s="4" customFormat="1" ht="42" customHeight="1">
      <c r="A2369" s="5">
        <v>0</v>
      </c>
      <c r="B2369" s="6" t="s">
        <v>13491</v>
      </c>
      <c r="C2369" s="7">
        <v>1392</v>
      </c>
      <c r="D2369" s="8" t="s">
        <v>13492</v>
      </c>
      <c r="E2369" s="8" t="s">
        <v>13493</v>
      </c>
      <c r="F2369" s="8" t="s">
        <v>1598</v>
      </c>
      <c r="G2369" s="6" t="s">
        <v>132</v>
      </c>
      <c r="H2369" s="6" t="s">
        <v>39</v>
      </c>
      <c r="I2369" s="8" t="s">
        <v>40</v>
      </c>
      <c r="J2369" s="9">
        <v>1</v>
      </c>
      <c r="K2369" s="9">
        <v>218</v>
      </c>
      <c r="L2369" s="9">
        <v>2025</v>
      </c>
      <c r="M2369" s="8" t="s">
        <v>13494</v>
      </c>
      <c r="N2369" s="8" t="s">
        <v>229</v>
      </c>
      <c r="O2369" s="8" t="s">
        <v>230</v>
      </c>
      <c r="P2369" s="6" t="s">
        <v>44</v>
      </c>
      <c r="Q2369" s="8" t="s">
        <v>45</v>
      </c>
      <c r="R2369" s="10" t="s">
        <v>13495</v>
      </c>
      <c r="S2369" s="11"/>
      <c r="T2369" s="6"/>
      <c r="U2369" s="24" t="str">
        <f>HYPERLINK("https://media.infra-m.ru/2167/2167515/cover/2167515.jpg", "Обложка")</f>
        <v>Обложка</v>
      </c>
      <c r="V2369" s="24" t="str">
        <f>HYPERLINK("https://znanium.ru/catalog/product/2167515", "Ознакомиться")</f>
        <v>Ознакомиться</v>
      </c>
      <c r="W2369" s="8" t="s">
        <v>1601</v>
      </c>
      <c r="X2369" s="6" t="s">
        <v>306</v>
      </c>
      <c r="Y2369" s="6"/>
      <c r="Z2369" s="6"/>
      <c r="AA2369" s="6" t="s">
        <v>159</v>
      </c>
      <c r="AB2369" s="8"/>
    </row>
    <row r="2370" spans="1:28" s="4" customFormat="1" ht="42" customHeight="1">
      <c r="A2370" s="5">
        <v>0</v>
      </c>
      <c r="B2370" s="6" t="s">
        <v>13496</v>
      </c>
      <c r="C2370" s="7">
        <v>1152</v>
      </c>
      <c r="D2370" s="8" t="s">
        <v>13497</v>
      </c>
      <c r="E2370" s="8" t="s">
        <v>13498</v>
      </c>
      <c r="F2370" s="8" t="s">
        <v>13499</v>
      </c>
      <c r="G2370" s="6" t="s">
        <v>81</v>
      </c>
      <c r="H2370" s="6" t="s">
        <v>99</v>
      </c>
      <c r="I2370" s="8"/>
      <c r="J2370" s="9">
        <v>1</v>
      </c>
      <c r="K2370" s="9">
        <v>208</v>
      </c>
      <c r="L2370" s="9">
        <v>2024</v>
      </c>
      <c r="M2370" s="8" t="s">
        <v>13500</v>
      </c>
      <c r="N2370" s="8" t="s">
        <v>42</v>
      </c>
      <c r="O2370" s="8" t="s">
        <v>101</v>
      </c>
      <c r="P2370" s="6" t="s">
        <v>44</v>
      </c>
      <c r="Q2370" s="8" t="s">
        <v>45</v>
      </c>
      <c r="R2370" s="10" t="s">
        <v>2946</v>
      </c>
      <c r="S2370" s="11"/>
      <c r="T2370" s="6"/>
      <c r="U2370" s="24" t="str">
        <f>HYPERLINK("https://media.infra-m.ru/2082/2082651/cover/2082651.jpg", "Обложка")</f>
        <v>Обложка</v>
      </c>
      <c r="V2370" s="24" t="str">
        <f>HYPERLINK("https://znanium.ru/catalog/product/2082651", "Ознакомиться")</f>
        <v>Ознакомиться</v>
      </c>
      <c r="W2370" s="8" t="s">
        <v>418</v>
      </c>
      <c r="X2370" s="6"/>
      <c r="Y2370" s="6"/>
      <c r="Z2370" s="6"/>
      <c r="AA2370" s="6" t="s">
        <v>339</v>
      </c>
      <c r="AB2370" s="8"/>
    </row>
    <row r="2371" spans="1:28" s="4" customFormat="1" ht="42" customHeight="1">
      <c r="A2371" s="5">
        <v>0</v>
      </c>
      <c r="B2371" s="6" t="s">
        <v>13501</v>
      </c>
      <c r="C2371" s="7">
        <v>2056.8000000000002</v>
      </c>
      <c r="D2371" s="8" t="s">
        <v>13502</v>
      </c>
      <c r="E2371" s="8" t="s">
        <v>13503</v>
      </c>
      <c r="F2371" s="8" t="s">
        <v>11536</v>
      </c>
      <c r="G2371" s="6" t="s">
        <v>132</v>
      </c>
      <c r="H2371" s="6" t="s">
        <v>99</v>
      </c>
      <c r="I2371" s="8"/>
      <c r="J2371" s="9">
        <v>1</v>
      </c>
      <c r="K2371" s="9">
        <v>328</v>
      </c>
      <c r="L2371" s="9">
        <v>2025</v>
      </c>
      <c r="M2371" s="8" t="s">
        <v>13504</v>
      </c>
      <c r="N2371" s="8" t="s">
        <v>42</v>
      </c>
      <c r="O2371" s="8" t="s">
        <v>101</v>
      </c>
      <c r="P2371" s="6" t="s">
        <v>44</v>
      </c>
      <c r="Q2371" s="8" t="s">
        <v>45</v>
      </c>
      <c r="R2371" s="10" t="s">
        <v>2490</v>
      </c>
      <c r="S2371" s="11"/>
      <c r="T2371" s="6"/>
      <c r="U2371" s="24" t="str">
        <f>HYPERLINK("https://media.infra-m.ru/2192/2192701/cover/2192701.jpg", "Обложка")</f>
        <v>Обложка</v>
      </c>
      <c r="V2371" s="24" t="str">
        <f>HYPERLINK("https://znanium.ru/catalog/product/1118470", "Ознакомиться")</f>
        <v>Ознакомиться</v>
      </c>
      <c r="W2371" s="8" t="s">
        <v>418</v>
      </c>
      <c r="X2371" s="6"/>
      <c r="Y2371" s="6"/>
      <c r="Z2371" s="6"/>
      <c r="AA2371" s="6" t="s">
        <v>199</v>
      </c>
      <c r="AB2371" s="8"/>
    </row>
    <row r="2372" spans="1:28" s="4" customFormat="1" ht="42" customHeight="1">
      <c r="A2372" s="5">
        <v>0</v>
      </c>
      <c r="B2372" s="6" t="s">
        <v>13505</v>
      </c>
      <c r="C2372" s="7">
        <v>1680</v>
      </c>
      <c r="D2372" s="8" t="s">
        <v>13506</v>
      </c>
      <c r="E2372" s="8" t="s">
        <v>13507</v>
      </c>
      <c r="F2372" s="8"/>
      <c r="G2372" s="6" t="s">
        <v>132</v>
      </c>
      <c r="H2372" s="6" t="s">
        <v>39</v>
      </c>
      <c r="I2372" s="8"/>
      <c r="J2372" s="9">
        <v>1</v>
      </c>
      <c r="K2372" s="9">
        <v>415</v>
      </c>
      <c r="L2372" s="9">
        <v>2025</v>
      </c>
      <c r="M2372" s="8" t="s">
        <v>13508</v>
      </c>
      <c r="N2372" s="8" t="s">
        <v>42</v>
      </c>
      <c r="O2372" s="8" t="s">
        <v>101</v>
      </c>
      <c r="P2372" s="6" t="s">
        <v>4494</v>
      </c>
      <c r="Q2372" s="8" t="s">
        <v>45</v>
      </c>
      <c r="R2372" s="10" t="s">
        <v>13509</v>
      </c>
      <c r="S2372" s="11"/>
      <c r="T2372" s="6"/>
      <c r="U2372" s="24" t="str">
        <f>HYPERLINK("https://media.infra-m.ru/2220/2220458/cover/2220458.jpg", "Обложка")</f>
        <v>Обложка</v>
      </c>
      <c r="V2372" s="12"/>
      <c r="W2372" s="8"/>
      <c r="X2372" s="6" t="s">
        <v>1094</v>
      </c>
      <c r="Y2372" s="6"/>
      <c r="Z2372" s="6"/>
      <c r="AA2372" s="6" t="s">
        <v>159</v>
      </c>
      <c r="AB2372" s="8"/>
    </row>
    <row r="2373" spans="1:28" s="4" customFormat="1" ht="51.95" customHeight="1">
      <c r="A2373" s="5">
        <v>0</v>
      </c>
      <c r="B2373" s="6" t="s">
        <v>13510</v>
      </c>
      <c r="C2373" s="7">
        <v>1265.9000000000001</v>
      </c>
      <c r="D2373" s="8" t="s">
        <v>13511</v>
      </c>
      <c r="E2373" s="8" t="s">
        <v>13512</v>
      </c>
      <c r="F2373" s="8" t="s">
        <v>13513</v>
      </c>
      <c r="G2373" s="6" t="s">
        <v>38</v>
      </c>
      <c r="H2373" s="6" t="s">
        <v>39</v>
      </c>
      <c r="I2373" s="8" t="s">
        <v>40</v>
      </c>
      <c r="J2373" s="9">
        <v>1</v>
      </c>
      <c r="K2373" s="9">
        <v>234</v>
      </c>
      <c r="L2373" s="9">
        <v>2023</v>
      </c>
      <c r="M2373" s="8" t="s">
        <v>13514</v>
      </c>
      <c r="N2373" s="8" t="s">
        <v>42</v>
      </c>
      <c r="O2373" s="8" t="s">
        <v>246</v>
      </c>
      <c r="P2373" s="6" t="s">
        <v>44</v>
      </c>
      <c r="Q2373" s="8" t="s">
        <v>45</v>
      </c>
      <c r="R2373" s="10" t="s">
        <v>13515</v>
      </c>
      <c r="S2373" s="11"/>
      <c r="T2373" s="6"/>
      <c r="U2373" s="24" t="str">
        <f>HYPERLINK("https://media.infra-m.ru/1981/1981630/cover/1981630.jpg", "Обложка")</f>
        <v>Обложка</v>
      </c>
      <c r="V2373" s="24" t="str">
        <f>HYPERLINK("https://znanium.ru/catalog/product/1013440", "Ознакомиться")</f>
        <v>Ознакомиться</v>
      </c>
      <c r="W2373" s="8" t="s">
        <v>1049</v>
      </c>
      <c r="X2373" s="6"/>
      <c r="Y2373" s="6"/>
      <c r="Z2373" s="6"/>
      <c r="AA2373" s="6" t="s">
        <v>2288</v>
      </c>
      <c r="AB2373" s="8"/>
    </row>
    <row r="2374" spans="1:28" s="4" customFormat="1" ht="44.1" customHeight="1">
      <c r="A2374" s="5">
        <v>0</v>
      </c>
      <c r="B2374" s="6" t="s">
        <v>13516</v>
      </c>
      <c r="C2374" s="13">
        <v>852</v>
      </c>
      <c r="D2374" s="8" t="s">
        <v>13517</v>
      </c>
      <c r="E2374" s="8" t="s">
        <v>13518</v>
      </c>
      <c r="F2374" s="8" t="s">
        <v>13519</v>
      </c>
      <c r="G2374" s="6" t="s">
        <v>38</v>
      </c>
      <c r="H2374" s="6" t="s">
        <v>182</v>
      </c>
      <c r="I2374" s="8" t="s">
        <v>40</v>
      </c>
      <c r="J2374" s="9">
        <v>1</v>
      </c>
      <c r="K2374" s="9">
        <v>156</v>
      </c>
      <c r="L2374" s="9">
        <v>2019</v>
      </c>
      <c r="M2374" s="8" t="s">
        <v>13520</v>
      </c>
      <c r="N2374" s="8" t="s">
        <v>42</v>
      </c>
      <c r="O2374" s="8" t="s">
        <v>246</v>
      </c>
      <c r="P2374" s="6" t="s">
        <v>44</v>
      </c>
      <c r="Q2374" s="8" t="s">
        <v>45</v>
      </c>
      <c r="R2374" s="10" t="s">
        <v>13521</v>
      </c>
      <c r="S2374" s="11"/>
      <c r="T2374" s="6"/>
      <c r="U2374" s="24" t="str">
        <f>HYPERLINK("https://media.infra-m.ru/1949/1949120/cover/1949120.jpg", "Обложка")</f>
        <v>Обложка</v>
      </c>
      <c r="V2374" s="24" t="str">
        <f>HYPERLINK("https://znanium.ru/catalog/product/1013469", "Ознакомиться")</f>
        <v>Ознакомиться</v>
      </c>
      <c r="W2374" s="8" t="s">
        <v>5156</v>
      </c>
      <c r="X2374" s="6"/>
      <c r="Y2374" s="6"/>
      <c r="Z2374" s="6"/>
      <c r="AA2374" s="6" t="s">
        <v>290</v>
      </c>
      <c r="AB2374" s="8"/>
    </row>
    <row r="2375" spans="1:28" s="4" customFormat="1" ht="42" customHeight="1">
      <c r="A2375" s="5">
        <v>0</v>
      </c>
      <c r="B2375" s="6" t="s">
        <v>13522</v>
      </c>
      <c r="C2375" s="13">
        <v>840</v>
      </c>
      <c r="D2375" s="8" t="s">
        <v>13523</v>
      </c>
      <c r="E2375" s="8" t="s">
        <v>13524</v>
      </c>
      <c r="F2375" s="8" t="s">
        <v>13525</v>
      </c>
      <c r="G2375" s="6" t="s">
        <v>38</v>
      </c>
      <c r="H2375" s="6" t="s">
        <v>39</v>
      </c>
      <c r="I2375" s="8" t="s">
        <v>40</v>
      </c>
      <c r="J2375" s="9">
        <v>1</v>
      </c>
      <c r="K2375" s="9">
        <v>175</v>
      </c>
      <c r="L2375" s="9">
        <v>2021</v>
      </c>
      <c r="M2375" s="8" t="s">
        <v>13526</v>
      </c>
      <c r="N2375" s="8" t="s">
        <v>42</v>
      </c>
      <c r="O2375" s="8" t="s">
        <v>189</v>
      </c>
      <c r="P2375" s="6" t="s">
        <v>44</v>
      </c>
      <c r="Q2375" s="8" t="s">
        <v>45</v>
      </c>
      <c r="R2375" s="10" t="s">
        <v>1419</v>
      </c>
      <c r="S2375" s="11"/>
      <c r="T2375" s="6"/>
      <c r="U2375" s="24" t="str">
        <f>HYPERLINK("https://media.infra-m.ru/1141/1141766/cover/1141766.jpg", "Обложка")</f>
        <v>Обложка</v>
      </c>
      <c r="V2375" s="24" t="str">
        <f>HYPERLINK("https://znanium.ru/catalog/product/1141766", "Ознакомиться")</f>
        <v>Ознакомиться</v>
      </c>
      <c r="W2375" s="8" t="s">
        <v>3948</v>
      </c>
      <c r="X2375" s="6"/>
      <c r="Y2375" s="6"/>
      <c r="Z2375" s="6"/>
      <c r="AA2375" s="6" t="s">
        <v>199</v>
      </c>
      <c r="AB2375" s="8"/>
    </row>
    <row r="2376" spans="1:28" s="4" customFormat="1" ht="44.1" customHeight="1">
      <c r="A2376" s="5">
        <v>0</v>
      </c>
      <c r="B2376" s="6" t="s">
        <v>13527</v>
      </c>
      <c r="C2376" s="7">
        <v>2212.8000000000002</v>
      </c>
      <c r="D2376" s="8" t="s">
        <v>13528</v>
      </c>
      <c r="E2376" s="8" t="s">
        <v>13529</v>
      </c>
      <c r="F2376" s="8" t="s">
        <v>13530</v>
      </c>
      <c r="G2376" s="6" t="s">
        <v>81</v>
      </c>
      <c r="H2376" s="6" t="s">
        <v>39</v>
      </c>
      <c r="I2376" s="8" t="s">
        <v>40</v>
      </c>
      <c r="J2376" s="9">
        <v>1</v>
      </c>
      <c r="K2376" s="9">
        <v>400</v>
      </c>
      <c r="L2376" s="9">
        <v>2024</v>
      </c>
      <c r="M2376" s="8" t="s">
        <v>13531</v>
      </c>
      <c r="N2376" s="8" t="s">
        <v>42</v>
      </c>
      <c r="O2376" s="8" t="s">
        <v>246</v>
      </c>
      <c r="P2376" s="6" t="s">
        <v>44</v>
      </c>
      <c r="Q2376" s="8" t="s">
        <v>1152</v>
      </c>
      <c r="R2376" s="10" t="s">
        <v>13532</v>
      </c>
      <c r="S2376" s="11"/>
      <c r="T2376" s="6"/>
      <c r="U2376" s="24" t="str">
        <f>HYPERLINK("https://media.infra-m.ru/2080/2080500/cover/2080500.jpg", "Обложка")</f>
        <v>Обложка</v>
      </c>
      <c r="V2376" s="24" t="str">
        <f>HYPERLINK("https://znanium.ru/catalog/product/1362602", "Ознакомиться")</f>
        <v>Ознакомиться</v>
      </c>
      <c r="W2376" s="8" t="s">
        <v>3756</v>
      </c>
      <c r="X2376" s="6"/>
      <c r="Y2376" s="6"/>
      <c r="Z2376" s="6"/>
      <c r="AA2376" s="6" t="s">
        <v>377</v>
      </c>
      <c r="AB2376" s="8"/>
    </row>
    <row r="2377" spans="1:28" s="4" customFormat="1" ht="42" customHeight="1">
      <c r="A2377" s="5">
        <v>0</v>
      </c>
      <c r="B2377" s="6" t="s">
        <v>13533</v>
      </c>
      <c r="C2377" s="7">
        <v>2165.9</v>
      </c>
      <c r="D2377" s="8" t="s">
        <v>13534</v>
      </c>
      <c r="E2377" s="8" t="s">
        <v>13535</v>
      </c>
      <c r="F2377" s="8" t="s">
        <v>13536</v>
      </c>
      <c r="G2377" s="6" t="s">
        <v>132</v>
      </c>
      <c r="H2377" s="6" t="s">
        <v>99</v>
      </c>
      <c r="I2377" s="8"/>
      <c r="J2377" s="9">
        <v>1</v>
      </c>
      <c r="K2377" s="9">
        <v>400</v>
      </c>
      <c r="L2377" s="9">
        <v>2023</v>
      </c>
      <c r="M2377" s="8" t="s">
        <v>13537</v>
      </c>
      <c r="N2377" s="8" t="s">
        <v>42</v>
      </c>
      <c r="O2377" s="8" t="s">
        <v>101</v>
      </c>
      <c r="P2377" s="6" t="s">
        <v>44</v>
      </c>
      <c r="Q2377" s="8" t="s">
        <v>45</v>
      </c>
      <c r="R2377" s="10" t="s">
        <v>2490</v>
      </c>
      <c r="S2377" s="11"/>
      <c r="T2377" s="6"/>
      <c r="U2377" s="24" t="str">
        <f>HYPERLINK("https://media.infra-m.ru/2023/2023198/cover/2023198.jpg", "Обложка")</f>
        <v>Обложка</v>
      </c>
      <c r="V2377" s="24" t="str">
        <f>HYPERLINK("https://znanium.ru/catalog/product/1177510", "Ознакомиться")</f>
        <v>Ознакомиться</v>
      </c>
      <c r="W2377" s="8" t="s">
        <v>13538</v>
      </c>
      <c r="X2377" s="6"/>
      <c r="Y2377" s="6"/>
      <c r="Z2377" s="6"/>
      <c r="AA2377" s="6" t="s">
        <v>68</v>
      </c>
      <c r="AB2377" s="8"/>
    </row>
    <row r="2378" spans="1:28" s="4" customFormat="1" ht="51.95" customHeight="1">
      <c r="A2378" s="5">
        <v>0</v>
      </c>
      <c r="B2378" s="6" t="s">
        <v>13539</v>
      </c>
      <c r="C2378" s="13">
        <v>720</v>
      </c>
      <c r="D2378" s="8" t="s">
        <v>13540</v>
      </c>
      <c r="E2378" s="8" t="s">
        <v>13541</v>
      </c>
      <c r="F2378" s="8" t="s">
        <v>13542</v>
      </c>
      <c r="G2378" s="6" t="s">
        <v>38</v>
      </c>
      <c r="H2378" s="6" t="s">
        <v>39</v>
      </c>
      <c r="I2378" s="8" t="s">
        <v>40</v>
      </c>
      <c r="J2378" s="9">
        <v>1</v>
      </c>
      <c r="K2378" s="9">
        <v>157</v>
      </c>
      <c r="L2378" s="9">
        <v>2022</v>
      </c>
      <c r="M2378" s="8" t="s">
        <v>13543</v>
      </c>
      <c r="N2378" s="8" t="s">
        <v>42</v>
      </c>
      <c r="O2378" s="8" t="s">
        <v>246</v>
      </c>
      <c r="P2378" s="6" t="s">
        <v>44</v>
      </c>
      <c r="Q2378" s="8" t="s">
        <v>45</v>
      </c>
      <c r="R2378" s="10" t="s">
        <v>3997</v>
      </c>
      <c r="S2378" s="11"/>
      <c r="T2378" s="6"/>
      <c r="U2378" s="24" t="str">
        <f>HYPERLINK("https://media.infra-m.ru/1850/1850123/cover/1850123.jpg", "Обложка")</f>
        <v>Обложка</v>
      </c>
      <c r="V2378" s="24" t="str">
        <f>HYPERLINK("https://znanium.ru/catalog/product/1850123", "Ознакомиться")</f>
        <v>Ознакомиться</v>
      </c>
      <c r="W2378" s="8" t="s">
        <v>1049</v>
      </c>
      <c r="X2378" s="6"/>
      <c r="Y2378" s="6"/>
      <c r="Z2378" s="6"/>
      <c r="AA2378" s="6" t="s">
        <v>377</v>
      </c>
      <c r="AB2378" s="8"/>
    </row>
    <row r="2379" spans="1:28" s="4" customFormat="1" ht="51.95" customHeight="1">
      <c r="A2379" s="5">
        <v>0</v>
      </c>
      <c r="B2379" s="6" t="s">
        <v>13544</v>
      </c>
      <c r="C2379" s="7">
        <v>2136</v>
      </c>
      <c r="D2379" s="8" t="s">
        <v>13545</v>
      </c>
      <c r="E2379" s="8" t="s">
        <v>13546</v>
      </c>
      <c r="F2379" s="8" t="s">
        <v>13547</v>
      </c>
      <c r="G2379" s="6" t="s">
        <v>81</v>
      </c>
      <c r="H2379" s="6" t="s">
        <v>39</v>
      </c>
      <c r="I2379" s="8" t="s">
        <v>40</v>
      </c>
      <c r="J2379" s="9">
        <v>1</v>
      </c>
      <c r="K2379" s="9">
        <v>332</v>
      </c>
      <c r="L2379" s="9">
        <v>2025</v>
      </c>
      <c r="M2379" s="8" t="s">
        <v>13548</v>
      </c>
      <c r="N2379" s="8" t="s">
        <v>284</v>
      </c>
      <c r="O2379" s="8" t="s">
        <v>1549</v>
      </c>
      <c r="P2379" s="6" t="s">
        <v>44</v>
      </c>
      <c r="Q2379" s="8" t="s">
        <v>45</v>
      </c>
      <c r="R2379" s="10" t="s">
        <v>13549</v>
      </c>
      <c r="S2379" s="11"/>
      <c r="T2379" s="6"/>
      <c r="U2379" s="24" t="str">
        <f>HYPERLINK("https://media.infra-m.ru/2186/2186416/cover/2186416.jpg", "Обложка")</f>
        <v>Обложка</v>
      </c>
      <c r="V2379" s="24" t="str">
        <f>HYPERLINK("https://znanium.ru/catalog/product/2186416", "Ознакомиться")</f>
        <v>Ознакомиться</v>
      </c>
      <c r="W2379" s="8" t="s">
        <v>13550</v>
      </c>
      <c r="X2379" s="6"/>
      <c r="Y2379" s="6"/>
      <c r="Z2379" s="6"/>
      <c r="AA2379" s="6" t="s">
        <v>119</v>
      </c>
      <c r="AB2379" s="8" t="s">
        <v>1342</v>
      </c>
    </row>
    <row r="2380" spans="1:28" s="4" customFormat="1" ht="44.1" customHeight="1">
      <c r="A2380" s="5">
        <v>0</v>
      </c>
      <c r="B2380" s="6" t="s">
        <v>13551</v>
      </c>
      <c r="C2380" s="7">
        <v>1637.9</v>
      </c>
      <c r="D2380" s="8" t="s">
        <v>13552</v>
      </c>
      <c r="E2380" s="8" t="s">
        <v>13553</v>
      </c>
      <c r="F2380" s="8" t="s">
        <v>13554</v>
      </c>
      <c r="G2380" s="6" t="s">
        <v>132</v>
      </c>
      <c r="H2380" s="6" t="s">
        <v>39</v>
      </c>
      <c r="I2380" s="8" t="s">
        <v>40</v>
      </c>
      <c r="J2380" s="9">
        <v>1</v>
      </c>
      <c r="K2380" s="9">
        <v>304</v>
      </c>
      <c r="L2380" s="9">
        <v>2023</v>
      </c>
      <c r="M2380" s="8" t="s">
        <v>13555</v>
      </c>
      <c r="N2380" s="8" t="s">
        <v>42</v>
      </c>
      <c r="O2380" s="8" t="s">
        <v>246</v>
      </c>
      <c r="P2380" s="6" t="s">
        <v>44</v>
      </c>
      <c r="Q2380" s="8" t="s">
        <v>45</v>
      </c>
      <c r="R2380" s="10" t="s">
        <v>13556</v>
      </c>
      <c r="S2380" s="11"/>
      <c r="T2380" s="6" t="s">
        <v>1080</v>
      </c>
      <c r="U2380" s="24" t="str">
        <f>HYPERLINK("https://media.infra-m.ru/1976/1976192/cover/1976192.jpg", "Обложка")</f>
        <v>Обложка</v>
      </c>
      <c r="V2380" s="24" t="str">
        <f>HYPERLINK("https://znanium.ru/catalog/product/1041949", "Ознакомиться")</f>
        <v>Ознакомиться</v>
      </c>
      <c r="W2380" s="8" t="s">
        <v>4777</v>
      </c>
      <c r="X2380" s="6"/>
      <c r="Y2380" s="6"/>
      <c r="Z2380" s="6"/>
      <c r="AA2380" s="6" t="s">
        <v>168</v>
      </c>
      <c r="AB2380" s="8"/>
    </row>
    <row r="2381" spans="1:28" s="4" customFormat="1" ht="42" customHeight="1">
      <c r="A2381" s="5">
        <v>0</v>
      </c>
      <c r="B2381" s="6" t="s">
        <v>13557</v>
      </c>
      <c r="C2381" s="7">
        <v>2140.8000000000002</v>
      </c>
      <c r="D2381" s="8" t="s">
        <v>13558</v>
      </c>
      <c r="E2381" s="8" t="s">
        <v>13559</v>
      </c>
      <c r="F2381" s="8" t="s">
        <v>13560</v>
      </c>
      <c r="G2381" s="6" t="s">
        <v>132</v>
      </c>
      <c r="H2381" s="6" t="s">
        <v>39</v>
      </c>
      <c r="I2381" s="8" t="s">
        <v>40</v>
      </c>
      <c r="J2381" s="9">
        <v>1</v>
      </c>
      <c r="K2381" s="9">
        <v>388</v>
      </c>
      <c r="L2381" s="9">
        <v>2024</v>
      </c>
      <c r="M2381" s="8" t="s">
        <v>13561</v>
      </c>
      <c r="N2381" s="8" t="s">
        <v>229</v>
      </c>
      <c r="O2381" s="8" t="s">
        <v>230</v>
      </c>
      <c r="P2381" s="6" t="s">
        <v>44</v>
      </c>
      <c r="Q2381" s="8" t="s">
        <v>45</v>
      </c>
      <c r="R2381" s="10" t="s">
        <v>13562</v>
      </c>
      <c r="S2381" s="11"/>
      <c r="T2381" s="6"/>
      <c r="U2381" s="24" t="str">
        <f>HYPERLINK("https://media.infra-m.ru/2110/2110933/cover/2110933.jpg", "Обложка")</f>
        <v>Обложка</v>
      </c>
      <c r="V2381" s="24" t="str">
        <f>HYPERLINK("https://znanium.ru/catalog/product/1816434", "Ознакомиться")</f>
        <v>Ознакомиться</v>
      </c>
      <c r="W2381" s="8" t="s">
        <v>1049</v>
      </c>
      <c r="X2381" s="6"/>
      <c r="Y2381" s="6"/>
      <c r="Z2381" s="6"/>
      <c r="AA2381" s="6" t="s">
        <v>68</v>
      </c>
      <c r="AB2381" s="8" t="s">
        <v>1902</v>
      </c>
    </row>
    <row r="2382" spans="1:28" s="4" customFormat="1" ht="51.95" customHeight="1">
      <c r="A2382" s="5">
        <v>0</v>
      </c>
      <c r="B2382" s="6" t="s">
        <v>13563</v>
      </c>
      <c r="C2382" s="7">
        <v>1452</v>
      </c>
      <c r="D2382" s="8" t="s">
        <v>13564</v>
      </c>
      <c r="E2382" s="8" t="s">
        <v>13565</v>
      </c>
      <c r="F2382" s="8" t="s">
        <v>13566</v>
      </c>
      <c r="G2382" s="6" t="s">
        <v>81</v>
      </c>
      <c r="H2382" s="6" t="s">
        <v>39</v>
      </c>
      <c r="I2382" s="8" t="s">
        <v>40</v>
      </c>
      <c r="J2382" s="9">
        <v>1</v>
      </c>
      <c r="K2382" s="9">
        <v>263</v>
      </c>
      <c r="L2382" s="9">
        <v>2023</v>
      </c>
      <c r="M2382" s="8" t="s">
        <v>13567</v>
      </c>
      <c r="N2382" s="8" t="s">
        <v>42</v>
      </c>
      <c r="O2382" s="8" t="s">
        <v>246</v>
      </c>
      <c r="P2382" s="6" t="s">
        <v>44</v>
      </c>
      <c r="Q2382" s="8" t="s">
        <v>45</v>
      </c>
      <c r="R2382" s="10" t="s">
        <v>13568</v>
      </c>
      <c r="S2382" s="11"/>
      <c r="T2382" s="6"/>
      <c r="U2382" s="24" t="str">
        <f>HYPERLINK("https://media.infra-m.ru/2126/2126768/cover/2126768.jpg", "Обложка")</f>
        <v>Обложка</v>
      </c>
      <c r="V2382" s="24" t="str">
        <f>HYPERLINK("https://znanium.ru/catalog/product/2126768", "Ознакомиться")</f>
        <v>Ознакомиться</v>
      </c>
      <c r="W2382" s="8" t="s">
        <v>1049</v>
      </c>
      <c r="X2382" s="6"/>
      <c r="Y2382" s="6"/>
      <c r="Z2382" s="6"/>
      <c r="AA2382" s="6" t="s">
        <v>68</v>
      </c>
      <c r="AB2382" s="8"/>
    </row>
    <row r="2383" spans="1:28" s="4" customFormat="1" ht="51.95" customHeight="1">
      <c r="A2383" s="5">
        <v>0</v>
      </c>
      <c r="B2383" s="6" t="s">
        <v>13569</v>
      </c>
      <c r="C2383" s="7">
        <v>1673.9</v>
      </c>
      <c r="D2383" s="8" t="s">
        <v>13570</v>
      </c>
      <c r="E2383" s="8" t="s">
        <v>13571</v>
      </c>
      <c r="F2383" s="8" t="s">
        <v>13572</v>
      </c>
      <c r="G2383" s="6" t="s">
        <v>132</v>
      </c>
      <c r="H2383" s="6" t="s">
        <v>39</v>
      </c>
      <c r="I2383" s="8" t="s">
        <v>40</v>
      </c>
      <c r="J2383" s="9">
        <v>1</v>
      </c>
      <c r="K2383" s="9">
        <v>357</v>
      </c>
      <c r="L2383" s="9">
        <v>2022</v>
      </c>
      <c r="M2383" s="8" t="s">
        <v>13573</v>
      </c>
      <c r="N2383" s="8" t="s">
        <v>42</v>
      </c>
      <c r="O2383" s="8" t="s">
        <v>246</v>
      </c>
      <c r="P2383" s="6" t="s">
        <v>44</v>
      </c>
      <c r="Q2383" s="8" t="s">
        <v>45</v>
      </c>
      <c r="R2383" s="10" t="s">
        <v>1290</v>
      </c>
      <c r="S2383" s="11"/>
      <c r="T2383" s="6"/>
      <c r="U2383" s="24" t="str">
        <f>HYPERLINK("https://media.infra-m.ru/1817/1817947/cover/1817947.jpg", "Обложка")</f>
        <v>Обложка</v>
      </c>
      <c r="V2383" s="24" t="str">
        <f>HYPERLINK("https://znanium.ru/catalog/product/1817947", "Ознакомиться")</f>
        <v>Ознакомиться</v>
      </c>
      <c r="W2383" s="8" t="s">
        <v>1218</v>
      </c>
      <c r="X2383" s="6"/>
      <c r="Y2383" s="6"/>
      <c r="Z2383" s="6"/>
      <c r="AA2383" s="6" t="s">
        <v>1556</v>
      </c>
      <c r="AB2383" s="8"/>
    </row>
    <row r="2384" spans="1:28" s="4" customFormat="1" ht="51.95" customHeight="1">
      <c r="A2384" s="5">
        <v>0</v>
      </c>
      <c r="B2384" s="6" t="s">
        <v>13574</v>
      </c>
      <c r="C2384" s="7">
        <v>1284</v>
      </c>
      <c r="D2384" s="8" t="s">
        <v>13575</v>
      </c>
      <c r="E2384" s="8" t="s">
        <v>13576</v>
      </c>
      <c r="F2384" s="8" t="s">
        <v>13577</v>
      </c>
      <c r="G2384" s="6" t="s">
        <v>132</v>
      </c>
      <c r="H2384" s="6" t="s">
        <v>39</v>
      </c>
      <c r="I2384" s="8" t="s">
        <v>40</v>
      </c>
      <c r="J2384" s="9">
        <v>1</v>
      </c>
      <c r="K2384" s="9">
        <v>226</v>
      </c>
      <c r="L2384" s="9">
        <v>2023</v>
      </c>
      <c r="M2384" s="8" t="s">
        <v>13578</v>
      </c>
      <c r="N2384" s="8" t="s">
        <v>42</v>
      </c>
      <c r="O2384" s="8" t="s">
        <v>246</v>
      </c>
      <c r="P2384" s="6" t="s">
        <v>44</v>
      </c>
      <c r="Q2384" s="8" t="s">
        <v>45</v>
      </c>
      <c r="R2384" s="10" t="s">
        <v>13579</v>
      </c>
      <c r="S2384" s="11"/>
      <c r="T2384" s="6"/>
      <c r="U2384" s="24" t="str">
        <f>HYPERLINK("https://media.infra-m.ru/2036/2036523/cover/2036523.jpg", "Обложка")</f>
        <v>Обложка</v>
      </c>
      <c r="V2384" s="24" t="str">
        <f>HYPERLINK("https://znanium.ru/catalog/product/2036523", "Ознакомиться")</f>
        <v>Ознакомиться</v>
      </c>
      <c r="W2384" s="8" t="s">
        <v>2935</v>
      </c>
      <c r="X2384" s="6"/>
      <c r="Y2384" s="6"/>
      <c r="Z2384" s="6"/>
      <c r="AA2384" s="6" t="s">
        <v>119</v>
      </c>
      <c r="AB2384" s="8"/>
    </row>
    <row r="2385" spans="1:28" s="4" customFormat="1" ht="51.95" customHeight="1">
      <c r="A2385" s="5">
        <v>0</v>
      </c>
      <c r="B2385" s="6" t="s">
        <v>13580</v>
      </c>
      <c r="C2385" s="7">
        <v>1000.8</v>
      </c>
      <c r="D2385" s="8" t="s">
        <v>13581</v>
      </c>
      <c r="E2385" s="8" t="s">
        <v>13582</v>
      </c>
      <c r="F2385" s="8" t="s">
        <v>13583</v>
      </c>
      <c r="G2385" s="6" t="s">
        <v>38</v>
      </c>
      <c r="H2385" s="6" t="s">
        <v>1019</v>
      </c>
      <c r="I2385" s="8" t="s">
        <v>1020</v>
      </c>
      <c r="J2385" s="9">
        <v>1</v>
      </c>
      <c r="K2385" s="9">
        <v>184</v>
      </c>
      <c r="L2385" s="9">
        <v>2023</v>
      </c>
      <c r="M2385" s="8" t="s">
        <v>13584</v>
      </c>
      <c r="N2385" s="8" t="s">
        <v>284</v>
      </c>
      <c r="O2385" s="8" t="s">
        <v>383</v>
      </c>
      <c r="P2385" s="6" t="s">
        <v>44</v>
      </c>
      <c r="Q2385" s="8" t="s">
        <v>45</v>
      </c>
      <c r="R2385" s="10" t="s">
        <v>13585</v>
      </c>
      <c r="S2385" s="11"/>
      <c r="T2385" s="6"/>
      <c r="U2385" s="24" t="str">
        <f>HYPERLINK("https://media.infra-m.ru/2006/2006035/cover/2006035.jpg", "Обложка")</f>
        <v>Обложка</v>
      </c>
      <c r="V2385" s="24" t="str">
        <f>HYPERLINK("https://znanium.ru/catalog/product/1028962", "Ознакомиться")</f>
        <v>Ознакомиться</v>
      </c>
      <c r="W2385" s="8" t="s">
        <v>176</v>
      </c>
      <c r="X2385" s="6"/>
      <c r="Y2385" s="6"/>
      <c r="Z2385" s="6"/>
      <c r="AA2385" s="6" t="s">
        <v>369</v>
      </c>
      <c r="AB2385" s="8"/>
    </row>
    <row r="2386" spans="1:28" s="4" customFormat="1" ht="42" customHeight="1">
      <c r="A2386" s="5">
        <v>0</v>
      </c>
      <c r="B2386" s="6" t="s">
        <v>13586</v>
      </c>
      <c r="C2386" s="13">
        <v>600</v>
      </c>
      <c r="D2386" s="8" t="s">
        <v>13587</v>
      </c>
      <c r="E2386" s="8" t="s">
        <v>13588</v>
      </c>
      <c r="F2386" s="8" t="s">
        <v>1135</v>
      </c>
      <c r="G2386" s="6" t="s">
        <v>38</v>
      </c>
      <c r="H2386" s="6" t="s">
        <v>39</v>
      </c>
      <c r="I2386" s="8"/>
      <c r="J2386" s="9">
        <v>1</v>
      </c>
      <c r="K2386" s="9">
        <v>134</v>
      </c>
      <c r="L2386" s="9">
        <v>2024</v>
      </c>
      <c r="M2386" s="8" t="s">
        <v>13589</v>
      </c>
      <c r="N2386" s="8" t="s">
        <v>284</v>
      </c>
      <c r="O2386" s="8" t="s">
        <v>383</v>
      </c>
      <c r="P2386" s="6" t="s">
        <v>2150</v>
      </c>
      <c r="Q2386" s="8" t="s">
        <v>45</v>
      </c>
      <c r="R2386" s="10" t="s">
        <v>13590</v>
      </c>
      <c r="S2386" s="11"/>
      <c r="T2386" s="6"/>
      <c r="U2386" s="24" t="str">
        <f>HYPERLINK("https://media.infra-m.ru/2146/2146296/cover/2146296.jpg", "Обложка")</f>
        <v>Обложка</v>
      </c>
      <c r="V2386" s="12"/>
      <c r="W2386" s="8" t="s">
        <v>1138</v>
      </c>
      <c r="X2386" s="6"/>
      <c r="Y2386" s="6"/>
      <c r="Z2386" s="6"/>
      <c r="AA2386" s="6" t="s">
        <v>119</v>
      </c>
      <c r="AB2386" s="8"/>
    </row>
    <row r="2387" spans="1:28" s="4" customFormat="1" ht="51.95" customHeight="1">
      <c r="A2387" s="5">
        <v>0</v>
      </c>
      <c r="B2387" s="6" t="s">
        <v>13591</v>
      </c>
      <c r="C2387" s="7">
        <v>1536</v>
      </c>
      <c r="D2387" s="8" t="s">
        <v>13592</v>
      </c>
      <c r="E2387" s="8" t="s">
        <v>13593</v>
      </c>
      <c r="F2387" s="8" t="s">
        <v>13594</v>
      </c>
      <c r="G2387" s="6" t="s">
        <v>38</v>
      </c>
      <c r="H2387" s="6" t="s">
        <v>39</v>
      </c>
      <c r="I2387" s="8" t="s">
        <v>40</v>
      </c>
      <c r="J2387" s="9">
        <v>1</v>
      </c>
      <c r="K2387" s="9">
        <v>277</v>
      </c>
      <c r="L2387" s="9">
        <v>2024</v>
      </c>
      <c r="M2387" s="8" t="s">
        <v>13595</v>
      </c>
      <c r="N2387" s="8" t="s">
        <v>42</v>
      </c>
      <c r="O2387" s="8" t="s">
        <v>246</v>
      </c>
      <c r="P2387" s="6" t="s">
        <v>44</v>
      </c>
      <c r="Q2387" s="8" t="s">
        <v>45</v>
      </c>
      <c r="R2387" s="10" t="s">
        <v>10899</v>
      </c>
      <c r="S2387" s="11"/>
      <c r="T2387" s="6"/>
      <c r="U2387" s="24" t="str">
        <f>HYPERLINK("https://media.infra-m.ru/2117/2117125/cover/2117125.jpg", "Обложка")</f>
        <v>Обложка</v>
      </c>
      <c r="V2387" s="24" t="str">
        <f>HYPERLINK("https://znanium.ru/catalog/product/2117125", "Ознакомиться")</f>
        <v>Ознакомиться</v>
      </c>
      <c r="W2387" s="8" t="s">
        <v>13596</v>
      </c>
      <c r="X2387" s="6"/>
      <c r="Y2387" s="6"/>
      <c r="Z2387" s="6"/>
      <c r="AA2387" s="6" t="s">
        <v>290</v>
      </c>
      <c r="AB2387" s="8"/>
    </row>
    <row r="2388" spans="1:28" s="4" customFormat="1" ht="51.95" customHeight="1">
      <c r="A2388" s="5">
        <v>0</v>
      </c>
      <c r="B2388" s="6" t="s">
        <v>13597</v>
      </c>
      <c r="C2388" s="7">
        <v>1188</v>
      </c>
      <c r="D2388" s="8" t="s">
        <v>13598</v>
      </c>
      <c r="E2388" s="8" t="s">
        <v>13599</v>
      </c>
      <c r="F2388" s="8" t="s">
        <v>13600</v>
      </c>
      <c r="G2388" s="6" t="s">
        <v>38</v>
      </c>
      <c r="H2388" s="6" t="s">
        <v>39</v>
      </c>
      <c r="I2388" s="8" t="s">
        <v>40</v>
      </c>
      <c r="J2388" s="9">
        <v>1</v>
      </c>
      <c r="K2388" s="9">
        <v>173</v>
      </c>
      <c r="L2388" s="9">
        <v>2026</v>
      </c>
      <c r="M2388" s="8" t="s">
        <v>13601</v>
      </c>
      <c r="N2388" s="8" t="s">
        <v>42</v>
      </c>
      <c r="O2388" s="8" t="s">
        <v>246</v>
      </c>
      <c r="P2388" s="6" t="s">
        <v>44</v>
      </c>
      <c r="Q2388" s="8" t="s">
        <v>45</v>
      </c>
      <c r="R2388" s="10" t="s">
        <v>13602</v>
      </c>
      <c r="S2388" s="11"/>
      <c r="T2388" s="6"/>
      <c r="U2388" s="24" t="str">
        <f>HYPERLINK("https://media.infra-m.ru/2196/2196569/cover/2196569.jpg", "Обложка")</f>
        <v>Обложка</v>
      </c>
      <c r="V2388" s="24" t="str">
        <f>HYPERLINK("https://znanium.ru/catalog/product/2196569", "Ознакомиться")</f>
        <v>Ознакомиться</v>
      </c>
      <c r="W2388" s="8" t="s">
        <v>3872</v>
      </c>
      <c r="X2388" s="6" t="s">
        <v>838</v>
      </c>
      <c r="Y2388" s="6"/>
      <c r="Z2388" s="6"/>
      <c r="AA2388" s="6" t="s">
        <v>833</v>
      </c>
      <c r="AB2388" s="8"/>
    </row>
    <row r="2389" spans="1:28" s="4" customFormat="1" ht="42" customHeight="1">
      <c r="A2389" s="5">
        <v>0</v>
      </c>
      <c r="B2389" s="6" t="s">
        <v>13603</v>
      </c>
      <c r="C2389" s="7">
        <v>1188</v>
      </c>
      <c r="D2389" s="8" t="s">
        <v>13604</v>
      </c>
      <c r="E2389" s="8" t="s">
        <v>13605</v>
      </c>
      <c r="F2389" s="8" t="s">
        <v>13606</v>
      </c>
      <c r="G2389" s="6" t="s">
        <v>38</v>
      </c>
      <c r="H2389" s="6" t="s">
        <v>39</v>
      </c>
      <c r="I2389" s="8" t="s">
        <v>164</v>
      </c>
      <c r="J2389" s="9">
        <v>1</v>
      </c>
      <c r="K2389" s="9">
        <v>186</v>
      </c>
      <c r="L2389" s="9">
        <v>2025</v>
      </c>
      <c r="M2389" s="8" t="s">
        <v>13607</v>
      </c>
      <c r="N2389" s="8" t="s">
        <v>229</v>
      </c>
      <c r="O2389" s="8" t="s">
        <v>230</v>
      </c>
      <c r="P2389" s="6" t="s">
        <v>44</v>
      </c>
      <c r="Q2389" s="8" t="s">
        <v>45</v>
      </c>
      <c r="R2389" s="10" t="s">
        <v>8396</v>
      </c>
      <c r="S2389" s="11"/>
      <c r="T2389" s="6"/>
      <c r="U2389" s="24" t="str">
        <f>HYPERLINK("https://media.infra-m.ru/2155/2155925/cover/2155925.jpg", "Обложка")</f>
        <v>Обложка</v>
      </c>
      <c r="V2389" s="24" t="str">
        <f>HYPERLINK("https://znanium.ru/catalog/product/2155925", "Ознакомиться")</f>
        <v>Ознакомиться</v>
      </c>
      <c r="W2389" s="8" t="s">
        <v>7845</v>
      </c>
      <c r="X2389" s="6"/>
      <c r="Y2389" s="6"/>
      <c r="Z2389" s="6"/>
      <c r="AA2389" s="6" t="s">
        <v>159</v>
      </c>
      <c r="AB2389" s="8"/>
    </row>
    <row r="2390" spans="1:28" s="4" customFormat="1" ht="44.1" customHeight="1">
      <c r="A2390" s="5">
        <v>0</v>
      </c>
      <c r="B2390" s="6" t="s">
        <v>13608</v>
      </c>
      <c r="C2390" s="13">
        <v>953.9</v>
      </c>
      <c r="D2390" s="8" t="s">
        <v>13609</v>
      </c>
      <c r="E2390" s="8" t="s">
        <v>13610</v>
      </c>
      <c r="F2390" s="8" t="s">
        <v>5005</v>
      </c>
      <c r="G2390" s="6" t="s">
        <v>38</v>
      </c>
      <c r="H2390" s="6" t="s">
        <v>39</v>
      </c>
      <c r="I2390" s="8" t="s">
        <v>40</v>
      </c>
      <c r="J2390" s="9">
        <v>1</v>
      </c>
      <c r="K2390" s="9">
        <v>177</v>
      </c>
      <c r="L2390" s="9">
        <v>2023</v>
      </c>
      <c r="M2390" s="8" t="s">
        <v>13611</v>
      </c>
      <c r="N2390" s="8" t="s">
        <v>42</v>
      </c>
      <c r="O2390" s="8" t="s">
        <v>246</v>
      </c>
      <c r="P2390" s="6" t="s">
        <v>44</v>
      </c>
      <c r="Q2390" s="8" t="s">
        <v>45</v>
      </c>
      <c r="R2390" s="10" t="s">
        <v>2977</v>
      </c>
      <c r="S2390" s="11"/>
      <c r="T2390" s="6"/>
      <c r="U2390" s="24" t="str">
        <f>HYPERLINK("https://media.infra-m.ru/1964/1964981/cover/1964981.jpg", "Обложка")</f>
        <v>Обложка</v>
      </c>
      <c r="V2390" s="24" t="str">
        <f>HYPERLINK("https://znanium.ru/catalog/product/1009542", "Ознакомиться")</f>
        <v>Ознакомиться</v>
      </c>
      <c r="W2390" s="8" t="s">
        <v>5008</v>
      </c>
      <c r="X2390" s="6"/>
      <c r="Y2390" s="6"/>
      <c r="Z2390" s="6"/>
      <c r="AA2390" s="6" t="s">
        <v>76</v>
      </c>
      <c r="AB2390" s="8"/>
    </row>
    <row r="2391" spans="1:28" s="4" customFormat="1" ht="51.95" customHeight="1">
      <c r="A2391" s="5">
        <v>0</v>
      </c>
      <c r="B2391" s="6" t="s">
        <v>13612</v>
      </c>
      <c r="C2391" s="13">
        <v>868.8</v>
      </c>
      <c r="D2391" s="8" t="s">
        <v>13613</v>
      </c>
      <c r="E2391" s="8" t="s">
        <v>13614</v>
      </c>
      <c r="F2391" s="8" t="s">
        <v>13615</v>
      </c>
      <c r="G2391" s="6" t="s">
        <v>38</v>
      </c>
      <c r="H2391" s="6" t="s">
        <v>39</v>
      </c>
      <c r="I2391" s="8" t="s">
        <v>40</v>
      </c>
      <c r="J2391" s="9">
        <v>1</v>
      </c>
      <c r="K2391" s="9">
        <v>158</v>
      </c>
      <c r="L2391" s="9">
        <v>2023</v>
      </c>
      <c r="M2391" s="8" t="s">
        <v>13616</v>
      </c>
      <c r="N2391" s="8" t="s">
        <v>42</v>
      </c>
      <c r="O2391" s="8" t="s">
        <v>246</v>
      </c>
      <c r="P2391" s="6" t="s">
        <v>44</v>
      </c>
      <c r="Q2391" s="8" t="s">
        <v>45</v>
      </c>
      <c r="R2391" s="10" t="s">
        <v>731</v>
      </c>
      <c r="S2391" s="11"/>
      <c r="T2391" s="6"/>
      <c r="U2391" s="24" t="str">
        <f>HYPERLINK("https://media.infra-m.ru/2023/2023204/cover/2023204.jpg", "Обложка")</f>
        <v>Обложка</v>
      </c>
      <c r="V2391" s="24" t="str">
        <f>HYPERLINK("https://znanium.ru/catalog/product/972746", "Ознакомиться")</f>
        <v>Ознакомиться</v>
      </c>
      <c r="W2391" s="8" t="s">
        <v>13617</v>
      </c>
      <c r="X2391" s="6"/>
      <c r="Y2391" s="6"/>
      <c r="Z2391" s="6"/>
      <c r="AA2391" s="6" t="s">
        <v>76</v>
      </c>
      <c r="AB2391" s="8"/>
    </row>
    <row r="2392" spans="1:28" s="4" customFormat="1" ht="42" customHeight="1">
      <c r="A2392" s="5">
        <v>0</v>
      </c>
      <c r="B2392" s="6" t="s">
        <v>13618</v>
      </c>
      <c r="C2392" s="13">
        <v>924</v>
      </c>
      <c r="D2392" s="8" t="s">
        <v>13619</v>
      </c>
      <c r="E2392" s="8" t="s">
        <v>13620</v>
      </c>
      <c r="F2392" s="8" t="s">
        <v>1222</v>
      </c>
      <c r="G2392" s="6" t="s">
        <v>38</v>
      </c>
      <c r="H2392" s="6" t="s">
        <v>39</v>
      </c>
      <c r="I2392" s="8" t="s">
        <v>40</v>
      </c>
      <c r="J2392" s="9">
        <v>1</v>
      </c>
      <c r="K2392" s="9">
        <v>201</v>
      </c>
      <c r="L2392" s="9">
        <v>2021</v>
      </c>
      <c r="M2392" s="8" t="s">
        <v>13621</v>
      </c>
      <c r="N2392" s="8" t="s">
        <v>42</v>
      </c>
      <c r="O2392" s="8" t="s">
        <v>246</v>
      </c>
      <c r="P2392" s="6" t="s">
        <v>44</v>
      </c>
      <c r="Q2392" s="8" t="s">
        <v>45</v>
      </c>
      <c r="R2392" s="10" t="s">
        <v>8784</v>
      </c>
      <c r="S2392" s="11"/>
      <c r="T2392" s="6"/>
      <c r="U2392" s="24" t="str">
        <f>HYPERLINK("https://media.infra-m.ru/1509/1509723/cover/1509723.jpg", "Обложка")</f>
        <v>Обложка</v>
      </c>
      <c r="V2392" s="24" t="str">
        <f>HYPERLINK("https://znanium.ru/catalog/product/1064961", "Ознакомиться")</f>
        <v>Ознакомиться</v>
      </c>
      <c r="W2392" s="8" t="s">
        <v>1225</v>
      </c>
      <c r="X2392" s="6"/>
      <c r="Y2392" s="6"/>
      <c r="Z2392" s="6"/>
      <c r="AA2392" s="6" t="s">
        <v>168</v>
      </c>
      <c r="AB2392" s="8"/>
    </row>
    <row r="2393" spans="1:28" s="4" customFormat="1" ht="42" customHeight="1">
      <c r="A2393" s="5">
        <v>0</v>
      </c>
      <c r="B2393" s="6" t="s">
        <v>13622</v>
      </c>
      <c r="C2393" s="13">
        <v>916.8</v>
      </c>
      <c r="D2393" s="8" t="s">
        <v>13623</v>
      </c>
      <c r="E2393" s="8" t="s">
        <v>13624</v>
      </c>
      <c r="F2393" s="8" t="s">
        <v>13625</v>
      </c>
      <c r="G2393" s="6" t="s">
        <v>38</v>
      </c>
      <c r="H2393" s="6" t="s">
        <v>39</v>
      </c>
      <c r="I2393" s="8" t="s">
        <v>40</v>
      </c>
      <c r="J2393" s="9">
        <v>1</v>
      </c>
      <c r="K2393" s="9">
        <v>167</v>
      </c>
      <c r="L2393" s="9">
        <v>2024</v>
      </c>
      <c r="M2393" s="8" t="s">
        <v>13626</v>
      </c>
      <c r="N2393" s="8" t="s">
        <v>42</v>
      </c>
      <c r="O2393" s="8" t="s">
        <v>246</v>
      </c>
      <c r="P2393" s="6" t="s">
        <v>44</v>
      </c>
      <c r="Q2393" s="8" t="s">
        <v>45</v>
      </c>
      <c r="R2393" s="10" t="s">
        <v>573</v>
      </c>
      <c r="S2393" s="11"/>
      <c r="T2393" s="6"/>
      <c r="U2393" s="24" t="str">
        <f>HYPERLINK("https://media.infra-m.ru/2079/2079334/cover/2079334.jpg", "Обложка")</f>
        <v>Обложка</v>
      </c>
      <c r="V2393" s="24" t="str">
        <f>HYPERLINK("https://znanium.ru/catalog/product/1072301", "Ознакомиться")</f>
        <v>Ознакомиться</v>
      </c>
      <c r="W2393" s="8" t="s">
        <v>314</v>
      </c>
      <c r="X2393" s="6"/>
      <c r="Y2393" s="6"/>
      <c r="Z2393" s="6"/>
      <c r="AA2393" s="6" t="s">
        <v>94</v>
      </c>
      <c r="AB2393" s="8"/>
    </row>
    <row r="2394" spans="1:28" s="4" customFormat="1" ht="51.95" customHeight="1">
      <c r="A2394" s="5">
        <v>0</v>
      </c>
      <c r="B2394" s="6" t="s">
        <v>13627</v>
      </c>
      <c r="C2394" s="7">
        <v>1140</v>
      </c>
      <c r="D2394" s="8" t="s">
        <v>13628</v>
      </c>
      <c r="E2394" s="8" t="s">
        <v>13629</v>
      </c>
      <c r="F2394" s="8" t="s">
        <v>13630</v>
      </c>
      <c r="G2394" s="6" t="s">
        <v>38</v>
      </c>
      <c r="H2394" s="6" t="s">
        <v>39</v>
      </c>
      <c r="I2394" s="8" t="s">
        <v>40</v>
      </c>
      <c r="J2394" s="9">
        <v>1</v>
      </c>
      <c r="K2394" s="9">
        <v>205</v>
      </c>
      <c r="L2394" s="9">
        <v>2023</v>
      </c>
      <c r="M2394" s="8" t="s">
        <v>13631</v>
      </c>
      <c r="N2394" s="8" t="s">
        <v>42</v>
      </c>
      <c r="O2394" s="8" t="s">
        <v>246</v>
      </c>
      <c r="P2394" s="6" t="s">
        <v>44</v>
      </c>
      <c r="Q2394" s="8" t="s">
        <v>45</v>
      </c>
      <c r="R2394" s="10" t="s">
        <v>13632</v>
      </c>
      <c r="S2394" s="11"/>
      <c r="T2394" s="6"/>
      <c r="U2394" s="24" t="str">
        <f>HYPERLINK("https://media.infra-m.ru/1902/1902742/cover/1902742.jpg", "Обложка")</f>
        <v>Обложка</v>
      </c>
      <c r="V2394" s="24" t="str">
        <f>HYPERLINK("https://znanium.ru/catalog/product/1902742", "Ознакомиться")</f>
        <v>Ознакомиться</v>
      </c>
      <c r="W2394" s="8" t="s">
        <v>305</v>
      </c>
      <c r="X2394" s="6"/>
      <c r="Y2394" s="6"/>
      <c r="Z2394" s="6"/>
      <c r="AA2394" s="6" t="s">
        <v>119</v>
      </c>
      <c r="AB2394" s="8"/>
    </row>
    <row r="2395" spans="1:28" s="4" customFormat="1" ht="42" customHeight="1">
      <c r="A2395" s="5">
        <v>0</v>
      </c>
      <c r="B2395" s="6" t="s">
        <v>13633</v>
      </c>
      <c r="C2395" s="7">
        <v>1380</v>
      </c>
      <c r="D2395" s="8" t="s">
        <v>13634</v>
      </c>
      <c r="E2395" s="8" t="s">
        <v>13635</v>
      </c>
      <c r="F2395" s="8" t="s">
        <v>13636</v>
      </c>
      <c r="G2395" s="6" t="s">
        <v>132</v>
      </c>
      <c r="H2395" s="6" t="s">
        <v>39</v>
      </c>
      <c r="I2395" s="8" t="s">
        <v>40</v>
      </c>
      <c r="J2395" s="9">
        <v>1</v>
      </c>
      <c r="K2395" s="9">
        <v>210</v>
      </c>
      <c r="L2395" s="9">
        <v>2025</v>
      </c>
      <c r="M2395" s="8" t="s">
        <v>13637</v>
      </c>
      <c r="N2395" s="8" t="s">
        <v>42</v>
      </c>
      <c r="O2395" s="8" t="s">
        <v>246</v>
      </c>
      <c r="P2395" s="6" t="s">
        <v>44</v>
      </c>
      <c r="Q2395" s="8" t="s">
        <v>45</v>
      </c>
      <c r="R2395" s="10" t="s">
        <v>2233</v>
      </c>
      <c r="S2395" s="11"/>
      <c r="T2395" s="6"/>
      <c r="U2395" s="24" t="str">
        <f>HYPERLINK("https://media.infra-m.ru/2168/2168616/cover/2168616.jpg", "Обложка")</f>
        <v>Обложка</v>
      </c>
      <c r="V2395" s="24" t="str">
        <f>HYPERLINK("https://znanium.ru/catalog/product/2168616", "Ознакомиться")</f>
        <v>Ознакомиться</v>
      </c>
      <c r="W2395" s="8" t="s">
        <v>13638</v>
      </c>
      <c r="X2395" s="6" t="s">
        <v>306</v>
      </c>
      <c r="Y2395" s="6"/>
      <c r="Z2395" s="6"/>
      <c r="AA2395" s="6" t="s">
        <v>159</v>
      </c>
      <c r="AB2395" s="8"/>
    </row>
    <row r="2396" spans="1:28" s="4" customFormat="1" ht="51.95" customHeight="1">
      <c r="A2396" s="5">
        <v>0</v>
      </c>
      <c r="B2396" s="6" t="s">
        <v>13639</v>
      </c>
      <c r="C2396" s="7">
        <v>1372.8</v>
      </c>
      <c r="D2396" s="8" t="s">
        <v>13640</v>
      </c>
      <c r="E2396" s="8" t="s">
        <v>13641</v>
      </c>
      <c r="F2396" s="8" t="s">
        <v>13642</v>
      </c>
      <c r="G2396" s="6" t="s">
        <v>81</v>
      </c>
      <c r="H2396" s="6" t="s">
        <v>39</v>
      </c>
      <c r="I2396" s="8" t="s">
        <v>40</v>
      </c>
      <c r="J2396" s="9">
        <v>1</v>
      </c>
      <c r="K2396" s="9">
        <v>242</v>
      </c>
      <c r="L2396" s="9">
        <v>2024</v>
      </c>
      <c r="M2396" s="8" t="s">
        <v>13643</v>
      </c>
      <c r="N2396" s="8" t="s">
        <v>42</v>
      </c>
      <c r="O2396" s="8" t="s">
        <v>246</v>
      </c>
      <c r="P2396" s="6" t="s">
        <v>44</v>
      </c>
      <c r="Q2396" s="8" t="s">
        <v>45</v>
      </c>
      <c r="R2396" s="10" t="s">
        <v>13644</v>
      </c>
      <c r="S2396" s="11"/>
      <c r="T2396" s="6"/>
      <c r="U2396" s="24" t="str">
        <f>HYPERLINK("https://media.infra-m.ru/2152/2152114/cover/2152114.jpg", "Обложка")</f>
        <v>Обложка</v>
      </c>
      <c r="V2396" s="24" t="str">
        <f>HYPERLINK("https://znanium.ru/catalog/product/2017324", "Ознакомиться")</f>
        <v>Ознакомиться</v>
      </c>
      <c r="W2396" s="8" t="s">
        <v>2080</v>
      </c>
      <c r="X2396" s="6"/>
      <c r="Y2396" s="6"/>
      <c r="Z2396" s="6"/>
      <c r="AA2396" s="6" t="s">
        <v>369</v>
      </c>
      <c r="AB2396" s="8"/>
    </row>
    <row r="2397" spans="1:28" s="4" customFormat="1" ht="51.95" customHeight="1">
      <c r="A2397" s="5">
        <v>0</v>
      </c>
      <c r="B2397" s="6" t="s">
        <v>13645</v>
      </c>
      <c r="C2397" s="7">
        <v>1588.8</v>
      </c>
      <c r="D2397" s="8" t="s">
        <v>13646</v>
      </c>
      <c r="E2397" s="8" t="s">
        <v>13647</v>
      </c>
      <c r="F2397" s="8" t="s">
        <v>13648</v>
      </c>
      <c r="G2397" s="6" t="s">
        <v>81</v>
      </c>
      <c r="H2397" s="6" t="s">
        <v>39</v>
      </c>
      <c r="I2397" s="8" t="s">
        <v>40</v>
      </c>
      <c r="J2397" s="9">
        <v>1</v>
      </c>
      <c r="K2397" s="9">
        <v>281</v>
      </c>
      <c r="L2397" s="9">
        <v>2024</v>
      </c>
      <c r="M2397" s="8" t="s">
        <v>13649</v>
      </c>
      <c r="N2397" s="8" t="s">
        <v>42</v>
      </c>
      <c r="O2397" s="8" t="s">
        <v>246</v>
      </c>
      <c r="P2397" s="6" t="s">
        <v>44</v>
      </c>
      <c r="Q2397" s="8" t="s">
        <v>45</v>
      </c>
      <c r="R2397" s="10" t="s">
        <v>13650</v>
      </c>
      <c r="S2397" s="11"/>
      <c r="T2397" s="6"/>
      <c r="U2397" s="24" t="str">
        <f>HYPERLINK("https://media.infra-m.ru/2133/2133972/cover/2133972.jpg", "Обложка")</f>
        <v>Обложка</v>
      </c>
      <c r="V2397" s="24" t="str">
        <f>HYPERLINK("https://znanium.ru/catalog/product/2133972", "Ознакомиться")</f>
        <v>Ознакомиться</v>
      </c>
      <c r="W2397" s="8" t="s">
        <v>641</v>
      </c>
      <c r="X2397" s="6"/>
      <c r="Y2397" s="6"/>
      <c r="Z2397" s="6"/>
      <c r="AA2397" s="6" t="s">
        <v>199</v>
      </c>
      <c r="AB2397" s="8"/>
    </row>
    <row r="2398" spans="1:28" s="4" customFormat="1" ht="51.95" customHeight="1">
      <c r="A2398" s="5">
        <v>0</v>
      </c>
      <c r="B2398" s="6" t="s">
        <v>13651</v>
      </c>
      <c r="C2398" s="7">
        <v>1500</v>
      </c>
      <c r="D2398" s="8" t="s">
        <v>13652</v>
      </c>
      <c r="E2398" s="8" t="s">
        <v>13653</v>
      </c>
      <c r="F2398" s="8" t="s">
        <v>13654</v>
      </c>
      <c r="G2398" s="6" t="s">
        <v>38</v>
      </c>
      <c r="H2398" s="6" t="s">
        <v>39</v>
      </c>
      <c r="I2398" s="8" t="s">
        <v>40</v>
      </c>
      <c r="J2398" s="9">
        <v>1</v>
      </c>
      <c r="K2398" s="9">
        <v>240</v>
      </c>
      <c r="L2398" s="9">
        <v>2025</v>
      </c>
      <c r="M2398" s="8" t="s">
        <v>13655</v>
      </c>
      <c r="N2398" s="8" t="s">
        <v>42</v>
      </c>
      <c r="O2398" s="8" t="s">
        <v>246</v>
      </c>
      <c r="P2398" s="6" t="s">
        <v>44</v>
      </c>
      <c r="Q2398" s="8" t="s">
        <v>45</v>
      </c>
      <c r="R2398" s="10" t="s">
        <v>360</v>
      </c>
      <c r="S2398" s="11"/>
      <c r="T2398" s="6"/>
      <c r="U2398" s="24" t="str">
        <f>HYPERLINK("https://media.infra-m.ru/2208/2208463/cover/2208463.jpg", "Обложка")</f>
        <v>Обложка</v>
      </c>
      <c r="V2398" s="24" t="str">
        <f>HYPERLINK("https://znanium.ru/catalog/product/2208463", "Ознакомиться")</f>
        <v>Ознакомиться</v>
      </c>
      <c r="W2398" s="8" t="s">
        <v>2080</v>
      </c>
      <c r="X2398" s="6"/>
      <c r="Y2398" s="6"/>
      <c r="Z2398" s="6"/>
      <c r="AA2398" s="6" t="s">
        <v>127</v>
      </c>
      <c r="AB2398" s="8"/>
    </row>
    <row r="2399" spans="1:28" s="4" customFormat="1" ht="42" customHeight="1">
      <c r="A2399" s="5">
        <v>0</v>
      </c>
      <c r="B2399" s="6" t="s">
        <v>13656</v>
      </c>
      <c r="C2399" s="7">
        <v>1596</v>
      </c>
      <c r="D2399" s="8" t="s">
        <v>13657</v>
      </c>
      <c r="E2399" s="8" t="s">
        <v>13658</v>
      </c>
      <c r="F2399" s="8" t="s">
        <v>13659</v>
      </c>
      <c r="G2399" s="6" t="s">
        <v>132</v>
      </c>
      <c r="H2399" s="6" t="s">
        <v>39</v>
      </c>
      <c r="I2399" s="8" t="s">
        <v>40</v>
      </c>
      <c r="J2399" s="9">
        <v>1</v>
      </c>
      <c r="K2399" s="9">
        <v>248</v>
      </c>
      <c r="L2399" s="9">
        <v>2025</v>
      </c>
      <c r="M2399" s="8" t="s">
        <v>13660</v>
      </c>
      <c r="N2399" s="8" t="s">
        <v>42</v>
      </c>
      <c r="O2399" s="8" t="s">
        <v>246</v>
      </c>
      <c r="P2399" s="6" t="s">
        <v>44</v>
      </c>
      <c r="Q2399" s="8" t="s">
        <v>45</v>
      </c>
      <c r="R2399" s="10" t="s">
        <v>13661</v>
      </c>
      <c r="S2399" s="11"/>
      <c r="T2399" s="6"/>
      <c r="U2399" s="24" t="str">
        <f>HYPERLINK("https://media.infra-m.ru/2150/2150868/cover/2150868.jpg", "Обложка")</f>
        <v>Обложка</v>
      </c>
      <c r="V2399" s="24" t="str">
        <f>HYPERLINK("https://znanium.ru/catalog/product/2150868", "Ознакомиться")</f>
        <v>Ознакомиться</v>
      </c>
      <c r="W2399" s="8" t="s">
        <v>641</v>
      </c>
      <c r="X2399" s="6" t="s">
        <v>517</v>
      </c>
      <c r="Y2399" s="6"/>
      <c r="Z2399" s="6"/>
      <c r="AA2399" s="6" t="s">
        <v>159</v>
      </c>
      <c r="AB2399" s="8"/>
    </row>
    <row r="2400" spans="1:28" s="4" customFormat="1" ht="51.95" customHeight="1">
      <c r="A2400" s="5">
        <v>0</v>
      </c>
      <c r="B2400" s="6" t="s">
        <v>13662</v>
      </c>
      <c r="C2400" s="7">
        <v>1812</v>
      </c>
      <c r="D2400" s="8" t="s">
        <v>13663</v>
      </c>
      <c r="E2400" s="8" t="s">
        <v>13664</v>
      </c>
      <c r="F2400" s="8" t="s">
        <v>13665</v>
      </c>
      <c r="G2400" s="6" t="s">
        <v>81</v>
      </c>
      <c r="H2400" s="6" t="s">
        <v>39</v>
      </c>
      <c r="I2400" s="8" t="s">
        <v>40</v>
      </c>
      <c r="J2400" s="9">
        <v>1</v>
      </c>
      <c r="K2400" s="9">
        <v>290</v>
      </c>
      <c r="L2400" s="9">
        <v>2025</v>
      </c>
      <c r="M2400" s="8" t="s">
        <v>13666</v>
      </c>
      <c r="N2400" s="8" t="s">
        <v>42</v>
      </c>
      <c r="O2400" s="8" t="s">
        <v>246</v>
      </c>
      <c r="P2400" s="6" t="s">
        <v>44</v>
      </c>
      <c r="Q2400" s="8" t="s">
        <v>45</v>
      </c>
      <c r="R2400" s="10" t="s">
        <v>13667</v>
      </c>
      <c r="S2400" s="11"/>
      <c r="T2400" s="6"/>
      <c r="U2400" s="24" t="str">
        <f>HYPERLINK("https://media.infra-m.ru/2200/2200129/cover/2200129.jpg", "Обложка")</f>
        <v>Обложка</v>
      </c>
      <c r="V2400" s="24" t="str">
        <f>HYPERLINK("https://znanium.ru/catalog/product/2200129", "Ознакомиться")</f>
        <v>Ознакомиться</v>
      </c>
      <c r="W2400" s="8" t="s">
        <v>3715</v>
      </c>
      <c r="X2400" s="6"/>
      <c r="Y2400" s="6"/>
      <c r="Z2400" s="6"/>
      <c r="AA2400" s="6" t="s">
        <v>68</v>
      </c>
      <c r="AB2400" s="8" t="s">
        <v>1902</v>
      </c>
    </row>
    <row r="2401" spans="1:28" s="4" customFormat="1" ht="44.1" customHeight="1">
      <c r="A2401" s="5">
        <v>0</v>
      </c>
      <c r="B2401" s="6" t="s">
        <v>13668</v>
      </c>
      <c r="C2401" s="7">
        <v>1680</v>
      </c>
      <c r="D2401" s="8" t="s">
        <v>13669</v>
      </c>
      <c r="E2401" s="8" t="s">
        <v>13670</v>
      </c>
      <c r="F2401" s="8" t="s">
        <v>13671</v>
      </c>
      <c r="G2401" s="6" t="s">
        <v>81</v>
      </c>
      <c r="H2401" s="6" t="s">
        <v>39</v>
      </c>
      <c r="I2401" s="8" t="s">
        <v>40</v>
      </c>
      <c r="J2401" s="9">
        <v>1</v>
      </c>
      <c r="K2401" s="9">
        <v>297</v>
      </c>
      <c r="L2401" s="9">
        <v>2024</v>
      </c>
      <c r="M2401" s="8" t="s">
        <v>13672</v>
      </c>
      <c r="N2401" s="8" t="s">
        <v>42</v>
      </c>
      <c r="O2401" s="8" t="s">
        <v>246</v>
      </c>
      <c r="P2401" s="6" t="s">
        <v>44</v>
      </c>
      <c r="Q2401" s="8" t="s">
        <v>45</v>
      </c>
      <c r="R2401" s="10" t="s">
        <v>2977</v>
      </c>
      <c r="S2401" s="11"/>
      <c r="T2401" s="6"/>
      <c r="U2401" s="24" t="str">
        <f>HYPERLINK("https://media.infra-m.ru/2133/2133969/cover/2133969.jpg", "Обложка")</f>
        <v>Обложка</v>
      </c>
      <c r="V2401" s="24" t="str">
        <f>HYPERLINK("https://znanium.ru/catalog/product/2133969", "Ознакомиться")</f>
        <v>Ознакомиться</v>
      </c>
      <c r="W2401" s="8" t="s">
        <v>641</v>
      </c>
      <c r="X2401" s="6"/>
      <c r="Y2401" s="6"/>
      <c r="Z2401" s="6"/>
      <c r="AA2401" s="6" t="s">
        <v>76</v>
      </c>
      <c r="AB2401" s="8"/>
    </row>
    <row r="2402" spans="1:28" s="4" customFormat="1" ht="51.95" customHeight="1">
      <c r="A2402" s="5">
        <v>0</v>
      </c>
      <c r="B2402" s="6" t="s">
        <v>13673</v>
      </c>
      <c r="C2402" s="7">
        <v>1260</v>
      </c>
      <c r="D2402" s="8" t="s">
        <v>13674</v>
      </c>
      <c r="E2402" s="8" t="s">
        <v>13675</v>
      </c>
      <c r="F2402" s="8" t="s">
        <v>13676</v>
      </c>
      <c r="G2402" s="6" t="s">
        <v>81</v>
      </c>
      <c r="H2402" s="6" t="s">
        <v>39</v>
      </c>
      <c r="I2402" s="8" t="s">
        <v>40</v>
      </c>
      <c r="J2402" s="9">
        <v>1</v>
      </c>
      <c r="K2402" s="9">
        <v>248</v>
      </c>
      <c r="L2402" s="9">
        <v>2022</v>
      </c>
      <c r="M2402" s="8" t="s">
        <v>13677</v>
      </c>
      <c r="N2402" s="8" t="s">
        <v>42</v>
      </c>
      <c r="O2402" s="8" t="s">
        <v>246</v>
      </c>
      <c r="P2402" s="6" t="s">
        <v>44</v>
      </c>
      <c r="Q2402" s="8" t="s">
        <v>45</v>
      </c>
      <c r="R2402" s="10" t="s">
        <v>13678</v>
      </c>
      <c r="S2402" s="11"/>
      <c r="T2402" s="6"/>
      <c r="U2402" s="24" t="str">
        <f>HYPERLINK("https://media.infra-m.ru/1877/1877529/cover/1877529.jpg", "Обложка")</f>
        <v>Обложка</v>
      </c>
      <c r="V2402" s="24" t="str">
        <f>HYPERLINK("https://znanium.ru/catalog/product/1877529", "Ознакомиться")</f>
        <v>Ознакомиться</v>
      </c>
      <c r="W2402" s="8" t="s">
        <v>167</v>
      </c>
      <c r="X2402" s="6"/>
      <c r="Y2402" s="6"/>
      <c r="Z2402" s="6"/>
      <c r="AA2402" s="6" t="s">
        <v>168</v>
      </c>
      <c r="AB2402" s="8"/>
    </row>
    <row r="2403" spans="1:28" s="4" customFormat="1" ht="42" customHeight="1">
      <c r="A2403" s="5">
        <v>0</v>
      </c>
      <c r="B2403" s="6" t="s">
        <v>13679</v>
      </c>
      <c r="C2403" s="7">
        <v>1432.8</v>
      </c>
      <c r="D2403" s="8" t="s">
        <v>13680</v>
      </c>
      <c r="E2403" s="8" t="s">
        <v>13681</v>
      </c>
      <c r="F2403" s="8" t="s">
        <v>13682</v>
      </c>
      <c r="G2403" s="6" t="s">
        <v>132</v>
      </c>
      <c r="H2403" s="6" t="s">
        <v>39</v>
      </c>
      <c r="I2403" s="8" t="s">
        <v>40</v>
      </c>
      <c r="J2403" s="9">
        <v>1</v>
      </c>
      <c r="K2403" s="9">
        <v>254</v>
      </c>
      <c r="L2403" s="9">
        <v>2024</v>
      </c>
      <c r="M2403" s="8" t="s">
        <v>13683</v>
      </c>
      <c r="N2403" s="8" t="s">
        <v>42</v>
      </c>
      <c r="O2403" s="8" t="s">
        <v>246</v>
      </c>
      <c r="P2403" s="6" t="s">
        <v>44</v>
      </c>
      <c r="Q2403" s="8" t="s">
        <v>45</v>
      </c>
      <c r="R2403" s="10" t="s">
        <v>1322</v>
      </c>
      <c r="S2403" s="11"/>
      <c r="T2403" s="6"/>
      <c r="U2403" s="24" t="str">
        <f>HYPERLINK("https://media.infra-m.ru/2136/2136033/cover/2136033.jpg", "Обложка")</f>
        <v>Обложка</v>
      </c>
      <c r="V2403" s="24" t="str">
        <f>HYPERLINK("https://znanium.ru/catalog/product/2136033", "Ознакомиться")</f>
        <v>Ознакомиться</v>
      </c>
      <c r="W2403" s="8" t="s">
        <v>1929</v>
      </c>
      <c r="X2403" s="6"/>
      <c r="Y2403" s="6"/>
      <c r="Z2403" s="6"/>
      <c r="AA2403" s="6" t="s">
        <v>168</v>
      </c>
      <c r="AB2403" s="8"/>
    </row>
    <row r="2404" spans="1:28" s="4" customFormat="1" ht="51.95" customHeight="1">
      <c r="A2404" s="5">
        <v>0</v>
      </c>
      <c r="B2404" s="6" t="s">
        <v>13684</v>
      </c>
      <c r="C2404" s="13">
        <v>984</v>
      </c>
      <c r="D2404" s="8" t="s">
        <v>13685</v>
      </c>
      <c r="E2404" s="8" t="s">
        <v>13686</v>
      </c>
      <c r="F2404" s="8" t="s">
        <v>13687</v>
      </c>
      <c r="G2404" s="6" t="s">
        <v>81</v>
      </c>
      <c r="H2404" s="6" t="s">
        <v>39</v>
      </c>
      <c r="I2404" s="8" t="s">
        <v>40</v>
      </c>
      <c r="J2404" s="9">
        <v>1</v>
      </c>
      <c r="K2404" s="9">
        <v>174</v>
      </c>
      <c r="L2404" s="9">
        <v>2024</v>
      </c>
      <c r="M2404" s="8" t="s">
        <v>13688</v>
      </c>
      <c r="N2404" s="8" t="s">
        <v>42</v>
      </c>
      <c r="O2404" s="8" t="s">
        <v>246</v>
      </c>
      <c r="P2404" s="6" t="s">
        <v>44</v>
      </c>
      <c r="Q2404" s="8" t="s">
        <v>45</v>
      </c>
      <c r="R2404" s="10" t="s">
        <v>13689</v>
      </c>
      <c r="S2404" s="11"/>
      <c r="T2404" s="6"/>
      <c r="U2404" s="24" t="str">
        <f>HYPERLINK("https://media.infra-m.ru/2133/2133977/cover/2133977.jpg", "Обложка")</f>
        <v>Обложка</v>
      </c>
      <c r="V2404" s="24" t="str">
        <f>HYPERLINK("https://znanium.ru/catalog/product/2133977", "Ознакомиться")</f>
        <v>Ознакомиться</v>
      </c>
      <c r="W2404" s="8" t="s">
        <v>2080</v>
      </c>
      <c r="X2404" s="6"/>
      <c r="Y2404" s="6"/>
      <c r="Z2404" s="6"/>
      <c r="AA2404" s="6" t="s">
        <v>339</v>
      </c>
      <c r="AB2404" s="8"/>
    </row>
    <row r="2405" spans="1:28" s="4" customFormat="1" ht="51.95" customHeight="1">
      <c r="A2405" s="5">
        <v>0</v>
      </c>
      <c r="B2405" s="6" t="s">
        <v>13690</v>
      </c>
      <c r="C2405" s="7">
        <v>1912.8</v>
      </c>
      <c r="D2405" s="8" t="s">
        <v>13691</v>
      </c>
      <c r="E2405" s="8" t="s">
        <v>13692</v>
      </c>
      <c r="F2405" s="8" t="s">
        <v>13693</v>
      </c>
      <c r="G2405" s="6" t="s">
        <v>132</v>
      </c>
      <c r="H2405" s="6" t="s">
        <v>39</v>
      </c>
      <c r="I2405" s="8" t="s">
        <v>40</v>
      </c>
      <c r="J2405" s="9">
        <v>1</v>
      </c>
      <c r="K2405" s="9">
        <v>343</v>
      </c>
      <c r="L2405" s="9">
        <v>2024</v>
      </c>
      <c r="M2405" s="8" t="s">
        <v>13694</v>
      </c>
      <c r="N2405" s="8" t="s">
        <v>42</v>
      </c>
      <c r="O2405" s="8" t="s">
        <v>246</v>
      </c>
      <c r="P2405" s="6" t="s">
        <v>44</v>
      </c>
      <c r="Q2405" s="8" t="s">
        <v>45</v>
      </c>
      <c r="R2405" s="10" t="s">
        <v>13678</v>
      </c>
      <c r="S2405" s="11"/>
      <c r="T2405" s="6"/>
      <c r="U2405" s="24" t="str">
        <f>HYPERLINK("https://media.infra-m.ru/2106/2106204/cover/2106204.jpg", "Обложка")</f>
        <v>Обложка</v>
      </c>
      <c r="V2405" s="24" t="str">
        <f>HYPERLINK("https://znanium.ru/catalog/product/2035498", "Ознакомиться")</f>
        <v>Ознакомиться</v>
      </c>
      <c r="W2405" s="8" t="s">
        <v>641</v>
      </c>
      <c r="X2405" s="6"/>
      <c r="Y2405" s="6"/>
      <c r="Z2405" s="6"/>
      <c r="AA2405" s="6" t="s">
        <v>119</v>
      </c>
      <c r="AB2405" s="8"/>
    </row>
    <row r="2406" spans="1:28" s="4" customFormat="1" ht="44.1" customHeight="1">
      <c r="A2406" s="5">
        <v>0</v>
      </c>
      <c r="B2406" s="6" t="s">
        <v>13695</v>
      </c>
      <c r="C2406" s="7">
        <v>1884</v>
      </c>
      <c r="D2406" s="8" t="s">
        <v>13696</v>
      </c>
      <c r="E2406" s="8" t="s">
        <v>13697</v>
      </c>
      <c r="F2406" s="8" t="s">
        <v>13698</v>
      </c>
      <c r="G2406" s="6" t="s">
        <v>132</v>
      </c>
      <c r="H2406" s="6" t="s">
        <v>39</v>
      </c>
      <c r="I2406" s="8" t="s">
        <v>40</v>
      </c>
      <c r="J2406" s="9">
        <v>1</v>
      </c>
      <c r="K2406" s="9">
        <v>345</v>
      </c>
      <c r="L2406" s="9">
        <v>2023</v>
      </c>
      <c r="M2406" s="8" t="s">
        <v>13699</v>
      </c>
      <c r="N2406" s="8" t="s">
        <v>42</v>
      </c>
      <c r="O2406" s="8" t="s">
        <v>246</v>
      </c>
      <c r="P2406" s="6" t="s">
        <v>44</v>
      </c>
      <c r="Q2406" s="8" t="s">
        <v>45</v>
      </c>
      <c r="R2406" s="10" t="s">
        <v>5828</v>
      </c>
      <c r="S2406" s="11"/>
      <c r="T2406" s="6"/>
      <c r="U2406" s="24" t="str">
        <f>HYPERLINK("https://media.infra-m.ru/1876/1876366/cover/1876366.jpg", "Обложка")</f>
        <v>Обложка</v>
      </c>
      <c r="V2406" s="24" t="str">
        <f>HYPERLINK("https://znanium.ru/catalog/product/1876366", "Ознакомиться")</f>
        <v>Ознакомиться</v>
      </c>
      <c r="W2406" s="8" t="s">
        <v>641</v>
      </c>
      <c r="X2406" s="6"/>
      <c r="Y2406" s="6"/>
      <c r="Z2406" s="6"/>
      <c r="AA2406" s="6" t="s">
        <v>119</v>
      </c>
      <c r="AB2406" s="8" t="s">
        <v>613</v>
      </c>
    </row>
    <row r="2407" spans="1:28" s="4" customFormat="1" ht="51.95" customHeight="1">
      <c r="A2407" s="5">
        <v>0</v>
      </c>
      <c r="B2407" s="6" t="s">
        <v>13700</v>
      </c>
      <c r="C2407" s="7">
        <v>1708.8</v>
      </c>
      <c r="D2407" s="8" t="s">
        <v>13701</v>
      </c>
      <c r="E2407" s="8" t="s">
        <v>13702</v>
      </c>
      <c r="F2407" s="8" t="s">
        <v>13703</v>
      </c>
      <c r="G2407" s="6" t="s">
        <v>38</v>
      </c>
      <c r="H2407" s="6" t="s">
        <v>39</v>
      </c>
      <c r="I2407" s="8" t="s">
        <v>40</v>
      </c>
      <c r="J2407" s="9">
        <v>1</v>
      </c>
      <c r="K2407" s="9">
        <v>283</v>
      </c>
      <c r="L2407" s="9">
        <v>2025</v>
      </c>
      <c r="M2407" s="8" t="s">
        <v>13704</v>
      </c>
      <c r="N2407" s="8" t="s">
        <v>42</v>
      </c>
      <c r="O2407" s="8" t="s">
        <v>246</v>
      </c>
      <c r="P2407" s="6" t="s">
        <v>44</v>
      </c>
      <c r="Q2407" s="8" t="s">
        <v>45</v>
      </c>
      <c r="R2407" s="10" t="s">
        <v>360</v>
      </c>
      <c r="S2407" s="11"/>
      <c r="T2407" s="6"/>
      <c r="U2407" s="24" t="str">
        <f>HYPERLINK("https://media.infra-m.ru/2163/2163982/cover/2163982.jpg", "Обложка")</f>
        <v>Обложка</v>
      </c>
      <c r="V2407" s="24" t="str">
        <f>HYPERLINK("https://znanium.ru/catalog/product/1039269", "Ознакомиться")</f>
        <v>Ознакомиться</v>
      </c>
      <c r="W2407" s="8" t="s">
        <v>2080</v>
      </c>
      <c r="X2407" s="6"/>
      <c r="Y2407" s="6"/>
      <c r="Z2407" s="6"/>
      <c r="AA2407" s="6" t="s">
        <v>290</v>
      </c>
      <c r="AB2407" s="8"/>
    </row>
    <row r="2408" spans="1:28" s="4" customFormat="1" ht="44.1" customHeight="1">
      <c r="A2408" s="5">
        <v>0</v>
      </c>
      <c r="B2408" s="6" t="s">
        <v>13705</v>
      </c>
      <c r="C2408" s="7">
        <v>1176</v>
      </c>
      <c r="D2408" s="8" t="s">
        <v>13706</v>
      </c>
      <c r="E2408" s="8" t="s">
        <v>13707</v>
      </c>
      <c r="F2408" s="8" t="s">
        <v>2231</v>
      </c>
      <c r="G2408" s="6" t="s">
        <v>38</v>
      </c>
      <c r="H2408" s="6" t="s">
        <v>39</v>
      </c>
      <c r="I2408" s="8" t="s">
        <v>752</v>
      </c>
      <c r="J2408" s="9">
        <v>1</v>
      </c>
      <c r="K2408" s="9">
        <v>187</v>
      </c>
      <c r="L2408" s="9">
        <v>2024</v>
      </c>
      <c r="M2408" s="8" t="s">
        <v>13708</v>
      </c>
      <c r="N2408" s="8" t="s">
        <v>42</v>
      </c>
      <c r="O2408" s="8" t="s">
        <v>246</v>
      </c>
      <c r="P2408" s="6" t="s">
        <v>44</v>
      </c>
      <c r="Q2408" s="8" t="s">
        <v>45</v>
      </c>
      <c r="R2408" s="10" t="s">
        <v>13709</v>
      </c>
      <c r="S2408" s="11"/>
      <c r="T2408" s="6"/>
      <c r="U2408" s="24" t="str">
        <f>HYPERLINK("https://media.infra-m.ru/2118/2118068/cover/2118068.jpg", "Обложка")</f>
        <v>Обложка</v>
      </c>
      <c r="V2408" s="24" t="str">
        <f>HYPERLINK("https://znanium.ru/catalog/product/2118068", "Ознакомиться")</f>
        <v>Ознакомиться</v>
      </c>
      <c r="W2408" s="8" t="s">
        <v>2234</v>
      </c>
      <c r="X2408" s="6"/>
      <c r="Y2408" s="6"/>
      <c r="Z2408" s="6"/>
      <c r="AA2408" s="6" t="s">
        <v>2773</v>
      </c>
      <c r="AB2408" s="8"/>
    </row>
    <row r="2409" spans="1:28" s="4" customFormat="1" ht="51.95" customHeight="1">
      <c r="A2409" s="5">
        <v>0</v>
      </c>
      <c r="B2409" s="6" t="s">
        <v>13710</v>
      </c>
      <c r="C2409" s="13">
        <v>744</v>
      </c>
      <c r="D2409" s="8" t="s">
        <v>13711</v>
      </c>
      <c r="E2409" s="8" t="s">
        <v>13712</v>
      </c>
      <c r="F2409" s="8" t="s">
        <v>6030</v>
      </c>
      <c r="G2409" s="6" t="s">
        <v>38</v>
      </c>
      <c r="H2409" s="6" t="s">
        <v>39</v>
      </c>
      <c r="I2409" s="8" t="s">
        <v>40</v>
      </c>
      <c r="J2409" s="9">
        <v>1</v>
      </c>
      <c r="K2409" s="9">
        <v>122</v>
      </c>
      <c r="L2409" s="9">
        <v>2024</v>
      </c>
      <c r="M2409" s="8" t="s">
        <v>13713</v>
      </c>
      <c r="N2409" s="8" t="s">
        <v>42</v>
      </c>
      <c r="O2409" s="8" t="s">
        <v>246</v>
      </c>
      <c r="P2409" s="6" t="s">
        <v>44</v>
      </c>
      <c r="Q2409" s="8" t="s">
        <v>45</v>
      </c>
      <c r="R2409" s="10" t="s">
        <v>11728</v>
      </c>
      <c r="S2409" s="11"/>
      <c r="T2409" s="6" t="s">
        <v>1080</v>
      </c>
      <c r="U2409" s="24" t="str">
        <f>HYPERLINK("https://media.infra-m.ru/2134/2134479/cover/2134479.jpg", "Обложка")</f>
        <v>Обложка</v>
      </c>
      <c r="V2409" s="24" t="str">
        <f>HYPERLINK("https://znanium.ru/catalog/product/2134479", "Ознакомиться")</f>
        <v>Ознакомиться</v>
      </c>
      <c r="W2409" s="8" t="s">
        <v>5050</v>
      </c>
      <c r="X2409" s="6"/>
      <c r="Y2409" s="6"/>
      <c r="Z2409" s="6"/>
      <c r="AA2409" s="6" t="s">
        <v>290</v>
      </c>
      <c r="AB2409" s="8"/>
    </row>
    <row r="2410" spans="1:28" s="4" customFormat="1" ht="51.95" customHeight="1">
      <c r="A2410" s="5">
        <v>0</v>
      </c>
      <c r="B2410" s="6" t="s">
        <v>13714</v>
      </c>
      <c r="C2410" s="7">
        <v>1236</v>
      </c>
      <c r="D2410" s="8" t="s">
        <v>13715</v>
      </c>
      <c r="E2410" s="8" t="s">
        <v>13716</v>
      </c>
      <c r="F2410" s="8" t="s">
        <v>13717</v>
      </c>
      <c r="G2410" s="6" t="s">
        <v>38</v>
      </c>
      <c r="H2410" s="6" t="s">
        <v>39</v>
      </c>
      <c r="I2410" s="8" t="s">
        <v>40</v>
      </c>
      <c r="J2410" s="9">
        <v>1</v>
      </c>
      <c r="K2410" s="9">
        <v>228</v>
      </c>
      <c r="L2410" s="9">
        <v>2023</v>
      </c>
      <c r="M2410" s="8" t="s">
        <v>13718</v>
      </c>
      <c r="N2410" s="8" t="s">
        <v>42</v>
      </c>
      <c r="O2410" s="8" t="s">
        <v>246</v>
      </c>
      <c r="P2410" s="6" t="s">
        <v>44</v>
      </c>
      <c r="Q2410" s="8" t="s">
        <v>45</v>
      </c>
      <c r="R2410" s="10" t="s">
        <v>360</v>
      </c>
      <c r="S2410" s="11"/>
      <c r="T2410" s="6"/>
      <c r="U2410" s="24" t="str">
        <f>HYPERLINK("https://media.infra-m.ru/2017/2017325/cover/2017325.jpg", "Обложка")</f>
        <v>Обложка</v>
      </c>
      <c r="V2410" s="24" t="str">
        <f>HYPERLINK("https://znanium.ru/catalog/product/2017325", "Ознакомиться")</f>
        <v>Ознакомиться</v>
      </c>
      <c r="W2410" s="8" t="s">
        <v>2080</v>
      </c>
      <c r="X2410" s="6"/>
      <c r="Y2410" s="6"/>
      <c r="Z2410" s="6"/>
      <c r="AA2410" s="6" t="s">
        <v>94</v>
      </c>
      <c r="AB2410" s="8"/>
    </row>
    <row r="2411" spans="1:28" s="4" customFormat="1" ht="51.95" customHeight="1">
      <c r="A2411" s="5">
        <v>0</v>
      </c>
      <c r="B2411" s="6" t="s">
        <v>13719</v>
      </c>
      <c r="C2411" s="7">
        <v>1656</v>
      </c>
      <c r="D2411" s="8" t="s">
        <v>13720</v>
      </c>
      <c r="E2411" s="8" t="s">
        <v>13721</v>
      </c>
      <c r="F2411" s="8" t="s">
        <v>13240</v>
      </c>
      <c r="G2411" s="6" t="s">
        <v>38</v>
      </c>
      <c r="H2411" s="6" t="s">
        <v>39</v>
      </c>
      <c r="I2411" s="8" t="s">
        <v>40</v>
      </c>
      <c r="J2411" s="9">
        <v>1</v>
      </c>
      <c r="K2411" s="9">
        <v>300</v>
      </c>
      <c r="L2411" s="9">
        <v>2024</v>
      </c>
      <c r="M2411" s="8" t="s">
        <v>13722</v>
      </c>
      <c r="N2411" s="8" t="s">
        <v>42</v>
      </c>
      <c r="O2411" s="8" t="s">
        <v>246</v>
      </c>
      <c r="P2411" s="6" t="s">
        <v>44</v>
      </c>
      <c r="Q2411" s="8" t="s">
        <v>45</v>
      </c>
      <c r="R2411" s="10" t="s">
        <v>3570</v>
      </c>
      <c r="S2411" s="11"/>
      <c r="T2411" s="6"/>
      <c r="U2411" s="24" t="str">
        <f>HYPERLINK("https://media.infra-m.ru/2102/2102184/cover/2102184.jpg", "Обложка")</f>
        <v>Обложка</v>
      </c>
      <c r="V2411" s="24" t="str">
        <f>HYPERLINK("https://znanium.ru/catalog/product/2102184", "Ознакомиться")</f>
        <v>Ознакомиться</v>
      </c>
      <c r="W2411" s="8" t="s">
        <v>7136</v>
      </c>
      <c r="X2411" s="6"/>
      <c r="Y2411" s="6"/>
      <c r="Z2411" s="6"/>
      <c r="AA2411" s="6" t="s">
        <v>127</v>
      </c>
      <c r="AB2411" s="8"/>
    </row>
    <row r="2412" spans="1:28" s="4" customFormat="1" ht="51.95" customHeight="1">
      <c r="A2412" s="5">
        <v>0</v>
      </c>
      <c r="B2412" s="6" t="s">
        <v>13723</v>
      </c>
      <c r="C2412" s="7">
        <v>1108.8</v>
      </c>
      <c r="D2412" s="8" t="s">
        <v>13724</v>
      </c>
      <c r="E2412" s="8" t="s">
        <v>13725</v>
      </c>
      <c r="F2412" s="8" t="s">
        <v>13726</v>
      </c>
      <c r="G2412" s="6" t="s">
        <v>132</v>
      </c>
      <c r="H2412" s="6" t="s">
        <v>39</v>
      </c>
      <c r="I2412" s="8" t="s">
        <v>40</v>
      </c>
      <c r="J2412" s="9">
        <v>1</v>
      </c>
      <c r="K2412" s="9">
        <v>200</v>
      </c>
      <c r="L2412" s="9">
        <v>2024</v>
      </c>
      <c r="M2412" s="8" t="s">
        <v>13727</v>
      </c>
      <c r="N2412" s="8" t="s">
        <v>42</v>
      </c>
      <c r="O2412" s="8" t="s">
        <v>246</v>
      </c>
      <c r="P2412" s="6" t="s">
        <v>44</v>
      </c>
      <c r="Q2412" s="8" t="s">
        <v>45</v>
      </c>
      <c r="R2412" s="10" t="s">
        <v>13728</v>
      </c>
      <c r="S2412" s="11"/>
      <c r="T2412" s="6" t="s">
        <v>1080</v>
      </c>
      <c r="U2412" s="24" t="str">
        <f>HYPERLINK("https://media.infra-m.ru/2117/2117145/cover/2117145.jpg", "Обложка")</f>
        <v>Обложка</v>
      </c>
      <c r="V2412" s="24" t="str">
        <f>HYPERLINK("https://znanium.ru/catalog/product/1020287", "Ознакомиться")</f>
        <v>Ознакомиться</v>
      </c>
      <c r="W2412" s="8" t="s">
        <v>207</v>
      </c>
      <c r="X2412" s="6"/>
      <c r="Y2412" s="6"/>
      <c r="Z2412" s="6"/>
      <c r="AA2412" s="6" t="s">
        <v>339</v>
      </c>
      <c r="AB2412" s="8"/>
    </row>
    <row r="2413" spans="1:28" s="4" customFormat="1" ht="44.1" customHeight="1">
      <c r="A2413" s="5">
        <v>0</v>
      </c>
      <c r="B2413" s="6" t="s">
        <v>13729</v>
      </c>
      <c r="C2413" s="7">
        <v>2464.8000000000002</v>
      </c>
      <c r="D2413" s="8" t="s">
        <v>13730</v>
      </c>
      <c r="E2413" s="8" t="s">
        <v>13731</v>
      </c>
      <c r="F2413" s="8" t="s">
        <v>13732</v>
      </c>
      <c r="G2413" s="6" t="s">
        <v>132</v>
      </c>
      <c r="H2413" s="6" t="s">
        <v>39</v>
      </c>
      <c r="I2413" s="8" t="s">
        <v>40</v>
      </c>
      <c r="J2413" s="9">
        <v>1</v>
      </c>
      <c r="K2413" s="9">
        <v>410</v>
      </c>
      <c r="L2413" s="9">
        <v>2025</v>
      </c>
      <c r="M2413" s="8" t="s">
        <v>13733</v>
      </c>
      <c r="N2413" s="8" t="s">
        <v>42</v>
      </c>
      <c r="O2413" s="8" t="s">
        <v>246</v>
      </c>
      <c r="P2413" s="6" t="s">
        <v>44</v>
      </c>
      <c r="Q2413" s="8" t="s">
        <v>45</v>
      </c>
      <c r="R2413" s="10" t="s">
        <v>1036</v>
      </c>
      <c r="S2413" s="11"/>
      <c r="T2413" s="6"/>
      <c r="U2413" s="24" t="str">
        <f>HYPERLINK("https://media.infra-m.ru/2161/2161673/cover/2161673.jpg", "Обложка")</f>
        <v>Обложка</v>
      </c>
      <c r="V2413" s="24" t="str">
        <f>HYPERLINK("https://znanium.ru/catalog/product/1831181", "Ознакомиться")</f>
        <v>Ознакомиться</v>
      </c>
      <c r="W2413" s="8" t="s">
        <v>964</v>
      </c>
      <c r="X2413" s="6"/>
      <c r="Y2413" s="6"/>
      <c r="Z2413" s="6"/>
      <c r="AA2413" s="6" t="s">
        <v>68</v>
      </c>
      <c r="AB2413" s="8"/>
    </row>
    <row r="2414" spans="1:28" s="4" customFormat="1" ht="42" customHeight="1">
      <c r="A2414" s="5">
        <v>0</v>
      </c>
      <c r="B2414" s="6" t="s">
        <v>13734</v>
      </c>
      <c r="C2414" s="7">
        <v>1708.8</v>
      </c>
      <c r="D2414" s="8" t="s">
        <v>13735</v>
      </c>
      <c r="E2414" s="8" t="s">
        <v>13736</v>
      </c>
      <c r="F2414" s="8" t="s">
        <v>13737</v>
      </c>
      <c r="G2414" s="6" t="s">
        <v>132</v>
      </c>
      <c r="H2414" s="6" t="s">
        <v>39</v>
      </c>
      <c r="I2414" s="8" t="s">
        <v>40</v>
      </c>
      <c r="J2414" s="9">
        <v>1</v>
      </c>
      <c r="K2414" s="9">
        <v>284</v>
      </c>
      <c r="L2414" s="9">
        <v>2025</v>
      </c>
      <c r="M2414" s="8" t="s">
        <v>13738</v>
      </c>
      <c r="N2414" s="8" t="s">
        <v>42</v>
      </c>
      <c r="O2414" s="8" t="s">
        <v>246</v>
      </c>
      <c r="P2414" s="6" t="s">
        <v>44</v>
      </c>
      <c r="Q2414" s="8" t="s">
        <v>45</v>
      </c>
      <c r="R2414" s="10" t="s">
        <v>1426</v>
      </c>
      <c r="S2414" s="11"/>
      <c r="T2414" s="6"/>
      <c r="U2414" s="24" t="str">
        <f>HYPERLINK("https://media.infra-m.ru/2163/2163070/cover/2163070.jpg", "Обложка")</f>
        <v>Обложка</v>
      </c>
      <c r="V2414" s="24" t="str">
        <f>HYPERLINK("https://znanium.ru/catalog/product/1911655", "Ознакомиться")</f>
        <v>Ознакомиться</v>
      </c>
      <c r="W2414" s="8" t="s">
        <v>3004</v>
      </c>
      <c r="X2414" s="6"/>
      <c r="Y2414" s="6"/>
      <c r="Z2414" s="6"/>
      <c r="AA2414" s="6" t="s">
        <v>119</v>
      </c>
      <c r="AB2414" s="8"/>
    </row>
    <row r="2415" spans="1:28" s="4" customFormat="1" ht="44.1" customHeight="1">
      <c r="A2415" s="5">
        <v>0</v>
      </c>
      <c r="B2415" s="6" t="s">
        <v>13739</v>
      </c>
      <c r="C2415" s="7">
        <v>1001.9</v>
      </c>
      <c r="D2415" s="8" t="s">
        <v>13740</v>
      </c>
      <c r="E2415" s="8" t="s">
        <v>13741</v>
      </c>
      <c r="F2415" s="8" t="s">
        <v>13742</v>
      </c>
      <c r="G2415" s="6" t="s">
        <v>132</v>
      </c>
      <c r="H2415" s="6" t="s">
        <v>39</v>
      </c>
      <c r="I2415" s="8" t="s">
        <v>40</v>
      </c>
      <c r="J2415" s="9">
        <v>1</v>
      </c>
      <c r="K2415" s="9">
        <v>213</v>
      </c>
      <c r="L2415" s="9">
        <v>2022</v>
      </c>
      <c r="M2415" s="8" t="s">
        <v>13743</v>
      </c>
      <c r="N2415" s="8" t="s">
        <v>42</v>
      </c>
      <c r="O2415" s="8" t="s">
        <v>246</v>
      </c>
      <c r="P2415" s="6" t="s">
        <v>44</v>
      </c>
      <c r="Q2415" s="8" t="s">
        <v>45</v>
      </c>
      <c r="R2415" s="10" t="s">
        <v>13744</v>
      </c>
      <c r="S2415" s="11" t="s">
        <v>13745</v>
      </c>
      <c r="T2415" s="6"/>
      <c r="U2415" s="24" t="str">
        <f>HYPERLINK("https://media.infra-m.ru/1859/1859041/cover/1859041.jpg", "Обложка")</f>
        <v>Обложка</v>
      </c>
      <c r="V2415" s="24" t="str">
        <f>HYPERLINK("https://znanium.ru/catalog/product/1010029", "Ознакомиться")</f>
        <v>Ознакомиться</v>
      </c>
      <c r="W2415" s="8" t="s">
        <v>8485</v>
      </c>
      <c r="X2415" s="6"/>
      <c r="Y2415" s="6"/>
      <c r="Z2415" s="6"/>
      <c r="AA2415" s="6" t="s">
        <v>331</v>
      </c>
      <c r="AB2415" s="8"/>
    </row>
    <row r="2416" spans="1:28" s="4" customFormat="1" ht="51.95" customHeight="1">
      <c r="A2416" s="5">
        <v>0</v>
      </c>
      <c r="B2416" s="6" t="s">
        <v>13746</v>
      </c>
      <c r="C2416" s="7">
        <v>1524</v>
      </c>
      <c r="D2416" s="8" t="s">
        <v>13747</v>
      </c>
      <c r="E2416" s="8" t="s">
        <v>13748</v>
      </c>
      <c r="F2416" s="8" t="s">
        <v>13749</v>
      </c>
      <c r="G2416" s="6" t="s">
        <v>38</v>
      </c>
      <c r="H2416" s="6" t="s">
        <v>39</v>
      </c>
      <c r="I2416" s="8" t="s">
        <v>40</v>
      </c>
      <c r="J2416" s="9">
        <v>1</v>
      </c>
      <c r="K2416" s="9">
        <v>243</v>
      </c>
      <c r="L2416" s="9">
        <v>2025</v>
      </c>
      <c r="M2416" s="8" t="s">
        <v>13750</v>
      </c>
      <c r="N2416" s="8" t="s">
        <v>42</v>
      </c>
      <c r="O2416" s="8" t="s">
        <v>246</v>
      </c>
      <c r="P2416" s="6" t="s">
        <v>44</v>
      </c>
      <c r="Q2416" s="8" t="s">
        <v>45</v>
      </c>
      <c r="R2416" s="10" t="s">
        <v>13751</v>
      </c>
      <c r="S2416" s="11"/>
      <c r="T2416" s="6"/>
      <c r="U2416" s="24" t="str">
        <f>HYPERLINK("https://media.infra-m.ru/2207/2207338/cover/2207338.jpg", "Обложка")</f>
        <v>Обложка</v>
      </c>
      <c r="V2416" s="24" t="str">
        <f>HYPERLINK("https://znanium.ru/catalog/product/2207338", "Ознакомиться")</f>
        <v>Ознакомиться</v>
      </c>
      <c r="W2416" s="8" t="s">
        <v>13752</v>
      </c>
      <c r="X2416" s="6"/>
      <c r="Y2416" s="6"/>
      <c r="Z2416" s="6"/>
      <c r="AA2416" s="6" t="s">
        <v>119</v>
      </c>
      <c r="AB2416" s="8"/>
    </row>
    <row r="2417" spans="1:28" s="4" customFormat="1" ht="42" customHeight="1">
      <c r="A2417" s="5">
        <v>0</v>
      </c>
      <c r="B2417" s="6" t="s">
        <v>13753</v>
      </c>
      <c r="C2417" s="13">
        <v>844.8</v>
      </c>
      <c r="D2417" s="8" t="s">
        <v>13754</v>
      </c>
      <c r="E2417" s="8" t="s">
        <v>13755</v>
      </c>
      <c r="F2417" s="8" t="s">
        <v>13756</v>
      </c>
      <c r="G2417" s="6" t="s">
        <v>38</v>
      </c>
      <c r="H2417" s="6" t="s">
        <v>39</v>
      </c>
      <c r="I2417" s="8" t="s">
        <v>40</v>
      </c>
      <c r="J2417" s="9">
        <v>1</v>
      </c>
      <c r="K2417" s="9">
        <v>154</v>
      </c>
      <c r="L2417" s="9">
        <v>2024</v>
      </c>
      <c r="M2417" s="8" t="s">
        <v>13757</v>
      </c>
      <c r="N2417" s="8" t="s">
        <v>42</v>
      </c>
      <c r="O2417" s="8" t="s">
        <v>246</v>
      </c>
      <c r="P2417" s="6" t="s">
        <v>44</v>
      </c>
      <c r="Q2417" s="8" t="s">
        <v>45</v>
      </c>
      <c r="R2417" s="10" t="s">
        <v>8084</v>
      </c>
      <c r="S2417" s="11"/>
      <c r="T2417" s="6"/>
      <c r="U2417" s="24" t="str">
        <f>HYPERLINK("https://media.infra-m.ru/2117/2117140/cover/2117140.jpg", "Обложка")</f>
        <v>Обложка</v>
      </c>
      <c r="V2417" s="24" t="str">
        <f>HYPERLINK("https://znanium.ru/catalog/product/1013439", "Ознакомиться")</f>
        <v>Ознакомиться</v>
      </c>
      <c r="W2417" s="8" t="s">
        <v>13758</v>
      </c>
      <c r="X2417" s="6"/>
      <c r="Y2417" s="6"/>
      <c r="Z2417" s="6"/>
      <c r="AA2417" s="6" t="s">
        <v>290</v>
      </c>
      <c r="AB2417" s="8"/>
    </row>
    <row r="2418" spans="1:28" s="4" customFormat="1" ht="51.95" customHeight="1">
      <c r="A2418" s="5">
        <v>0</v>
      </c>
      <c r="B2418" s="6" t="s">
        <v>13759</v>
      </c>
      <c r="C2418" s="13">
        <v>660</v>
      </c>
      <c r="D2418" s="8" t="s">
        <v>13760</v>
      </c>
      <c r="E2418" s="8" t="s">
        <v>13761</v>
      </c>
      <c r="F2418" s="8" t="s">
        <v>13762</v>
      </c>
      <c r="G2418" s="6" t="s">
        <v>38</v>
      </c>
      <c r="H2418" s="6" t="s">
        <v>39</v>
      </c>
      <c r="I2418" s="8" t="s">
        <v>40</v>
      </c>
      <c r="J2418" s="9">
        <v>1</v>
      </c>
      <c r="K2418" s="9">
        <v>138</v>
      </c>
      <c r="L2418" s="9">
        <v>2019</v>
      </c>
      <c r="M2418" s="8" t="s">
        <v>13763</v>
      </c>
      <c r="N2418" s="8" t="s">
        <v>42</v>
      </c>
      <c r="O2418" s="8" t="s">
        <v>189</v>
      </c>
      <c r="P2418" s="6" t="s">
        <v>44</v>
      </c>
      <c r="Q2418" s="8" t="s">
        <v>45</v>
      </c>
      <c r="R2418" s="10" t="s">
        <v>13764</v>
      </c>
      <c r="S2418" s="11"/>
      <c r="T2418" s="6"/>
      <c r="U2418" s="24" t="str">
        <f>HYPERLINK("https://media.infra-m.ru/0978/0978603/cover/978603.jpg", "Обложка")</f>
        <v>Обложка</v>
      </c>
      <c r="V2418" s="24" t="str">
        <f>HYPERLINK("https://znanium.ru/catalog/product/978603", "Ознакомиться")</f>
        <v>Ознакомиться</v>
      </c>
      <c r="W2418" s="8" t="s">
        <v>5156</v>
      </c>
      <c r="X2418" s="6"/>
      <c r="Y2418" s="6"/>
      <c r="Z2418" s="6"/>
      <c r="AA2418" s="6" t="s">
        <v>76</v>
      </c>
      <c r="AB2418" s="8"/>
    </row>
    <row r="2419" spans="1:28" s="4" customFormat="1" ht="42" customHeight="1">
      <c r="A2419" s="5">
        <v>0</v>
      </c>
      <c r="B2419" s="6" t="s">
        <v>13765</v>
      </c>
      <c r="C2419" s="13">
        <v>576</v>
      </c>
      <c r="D2419" s="8" t="s">
        <v>13766</v>
      </c>
      <c r="E2419" s="8" t="s">
        <v>13767</v>
      </c>
      <c r="F2419" s="8" t="s">
        <v>13768</v>
      </c>
      <c r="G2419" s="6" t="s">
        <v>38</v>
      </c>
      <c r="H2419" s="6" t="s">
        <v>39</v>
      </c>
      <c r="I2419" s="8" t="s">
        <v>40</v>
      </c>
      <c r="J2419" s="9">
        <v>1</v>
      </c>
      <c r="K2419" s="9">
        <v>107</v>
      </c>
      <c r="L2419" s="9">
        <v>2023</v>
      </c>
      <c r="M2419" s="8" t="s">
        <v>13769</v>
      </c>
      <c r="N2419" s="8" t="s">
        <v>42</v>
      </c>
      <c r="O2419" s="8" t="s">
        <v>246</v>
      </c>
      <c r="P2419" s="6" t="s">
        <v>44</v>
      </c>
      <c r="Q2419" s="8" t="s">
        <v>45</v>
      </c>
      <c r="R2419" s="10" t="s">
        <v>10267</v>
      </c>
      <c r="S2419" s="11"/>
      <c r="T2419" s="6"/>
      <c r="U2419" s="24" t="str">
        <f>HYPERLINK("https://media.infra-m.ru/1893/1893853/cover/1893853.jpg", "Обложка")</f>
        <v>Обложка</v>
      </c>
      <c r="V2419" s="24" t="str">
        <f>HYPERLINK("https://znanium.ru/catalog/product/1893853", "Ознакомиться")</f>
        <v>Ознакомиться</v>
      </c>
      <c r="W2419" s="8" t="s">
        <v>3131</v>
      </c>
      <c r="X2419" s="6"/>
      <c r="Y2419" s="6"/>
      <c r="Z2419" s="6"/>
      <c r="AA2419" s="6" t="s">
        <v>68</v>
      </c>
      <c r="AB2419" s="8"/>
    </row>
    <row r="2420" spans="1:28" s="4" customFormat="1" ht="51.95" customHeight="1">
      <c r="A2420" s="5">
        <v>0</v>
      </c>
      <c r="B2420" s="6" t="s">
        <v>13770</v>
      </c>
      <c r="C2420" s="7">
        <v>1505.9</v>
      </c>
      <c r="D2420" s="8" t="s">
        <v>13771</v>
      </c>
      <c r="E2420" s="8" t="s">
        <v>13772</v>
      </c>
      <c r="F2420" s="8" t="s">
        <v>13773</v>
      </c>
      <c r="G2420" s="6" t="s">
        <v>132</v>
      </c>
      <c r="H2420" s="6" t="s">
        <v>3576</v>
      </c>
      <c r="I2420" s="8"/>
      <c r="J2420" s="9">
        <v>1</v>
      </c>
      <c r="K2420" s="9">
        <v>368</v>
      </c>
      <c r="L2420" s="9">
        <v>2019</v>
      </c>
      <c r="M2420" s="8" t="s">
        <v>13774</v>
      </c>
      <c r="N2420" s="8" t="s">
        <v>42</v>
      </c>
      <c r="O2420" s="8" t="s">
        <v>189</v>
      </c>
      <c r="P2420" s="6" t="s">
        <v>44</v>
      </c>
      <c r="Q2420" s="8" t="s">
        <v>45</v>
      </c>
      <c r="R2420" s="10" t="s">
        <v>13775</v>
      </c>
      <c r="S2420" s="11"/>
      <c r="T2420" s="6"/>
      <c r="U2420" s="24" t="str">
        <f>HYPERLINK("https://media.infra-m.ru/1002/1002674/cover/1002674.jpg", "Обложка")</f>
        <v>Обложка</v>
      </c>
      <c r="V2420" s="24" t="str">
        <f>HYPERLINK("https://znanium.ru/catalog/product/1002674", "Ознакомиться")</f>
        <v>Ознакомиться</v>
      </c>
      <c r="W2420" s="8" t="s">
        <v>1336</v>
      </c>
      <c r="X2420" s="6"/>
      <c r="Y2420" s="6"/>
      <c r="Z2420" s="6"/>
      <c r="AA2420" s="6" t="s">
        <v>127</v>
      </c>
      <c r="AB2420" s="8"/>
    </row>
    <row r="2421" spans="1:28" s="4" customFormat="1" ht="42" customHeight="1">
      <c r="A2421" s="5">
        <v>0</v>
      </c>
      <c r="B2421" s="6" t="s">
        <v>13776</v>
      </c>
      <c r="C2421" s="7">
        <v>1560</v>
      </c>
      <c r="D2421" s="8" t="s">
        <v>13777</v>
      </c>
      <c r="E2421" s="8" t="s">
        <v>13778</v>
      </c>
      <c r="F2421" s="8" t="s">
        <v>1745</v>
      </c>
      <c r="G2421" s="6" t="s">
        <v>81</v>
      </c>
      <c r="H2421" s="6" t="s">
        <v>39</v>
      </c>
      <c r="I2421" s="8" t="s">
        <v>40</v>
      </c>
      <c r="J2421" s="9">
        <v>1</v>
      </c>
      <c r="K2421" s="9">
        <v>288</v>
      </c>
      <c r="L2421" s="9">
        <v>2023</v>
      </c>
      <c r="M2421" s="8" t="s">
        <v>13779</v>
      </c>
      <c r="N2421" s="8" t="s">
        <v>284</v>
      </c>
      <c r="O2421" s="8" t="s">
        <v>328</v>
      </c>
      <c r="P2421" s="6" t="s">
        <v>44</v>
      </c>
      <c r="Q2421" s="8" t="s">
        <v>45</v>
      </c>
      <c r="R2421" s="10" t="s">
        <v>8784</v>
      </c>
      <c r="S2421" s="11"/>
      <c r="T2421" s="6" t="s">
        <v>1080</v>
      </c>
      <c r="U2421" s="24" t="str">
        <f>HYPERLINK("https://media.infra-m.ru/2002/2002631/cover/2002631.jpg", "Обложка")</f>
        <v>Обложка</v>
      </c>
      <c r="V2421" s="24" t="str">
        <f>HYPERLINK("https://znanium.ru/catalog/product/2002631", "Ознакомиться")</f>
        <v>Ознакомиться</v>
      </c>
      <c r="W2421" s="8" t="s">
        <v>1362</v>
      </c>
      <c r="X2421" s="6"/>
      <c r="Y2421" s="6"/>
      <c r="Z2421" s="6"/>
      <c r="AA2421" s="6" t="s">
        <v>369</v>
      </c>
      <c r="AB2421" s="8"/>
    </row>
    <row r="2422" spans="1:28" s="4" customFormat="1" ht="44.1" customHeight="1">
      <c r="A2422" s="5">
        <v>0</v>
      </c>
      <c r="B2422" s="6" t="s">
        <v>13780</v>
      </c>
      <c r="C2422" s="7">
        <v>1188</v>
      </c>
      <c r="D2422" s="8" t="s">
        <v>13781</v>
      </c>
      <c r="E2422" s="8" t="s">
        <v>13782</v>
      </c>
      <c r="F2422" s="8" t="s">
        <v>13783</v>
      </c>
      <c r="G2422" s="6" t="s">
        <v>38</v>
      </c>
      <c r="H2422" s="6" t="s">
        <v>39</v>
      </c>
      <c r="I2422" s="8" t="s">
        <v>40</v>
      </c>
      <c r="J2422" s="9">
        <v>1</v>
      </c>
      <c r="K2422" s="9">
        <v>207</v>
      </c>
      <c r="L2422" s="9">
        <v>2024</v>
      </c>
      <c r="M2422" s="8" t="s">
        <v>13784</v>
      </c>
      <c r="N2422" s="8" t="s">
        <v>284</v>
      </c>
      <c r="O2422" s="8" t="s">
        <v>328</v>
      </c>
      <c r="P2422" s="6" t="s">
        <v>44</v>
      </c>
      <c r="Q2422" s="8" t="s">
        <v>45</v>
      </c>
      <c r="R2422" s="10" t="s">
        <v>13785</v>
      </c>
      <c r="S2422" s="11"/>
      <c r="T2422" s="6"/>
      <c r="U2422" s="24" t="str">
        <f>HYPERLINK("https://media.infra-m.ru/2054/2054115/cover/2054115.jpg", "Обложка")</f>
        <v>Обложка</v>
      </c>
      <c r="V2422" s="24" t="str">
        <f>HYPERLINK("https://znanium.ru/catalog/product/2054115", "Ознакомиться")</f>
        <v>Ознакомиться</v>
      </c>
      <c r="W2422" s="8" t="s">
        <v>509</v>
      </c>
      <c r="X2422" s="6"/>
      <c r="Y2422" s="6"/>
      <c r="Z2422" s="6"/>
      <c r="AA2422" s="6" t="s">
        <v>76</v>
      </c>
      <c r="AB2422" s="8"/>
    </row>
    <row r="2423" spans="1:28" s="4" customFormat="1" ht="42" customHeight="1">
      <c r="A2423" s="5">
        <v>0</v>
      </c>
      <c r="B2423" s="6" t="s">
        <v>13786</v>
      </c>
      <c r="C2423" s="7">
        <v>1504.8</v>
      </c>
      <c r="D2423" s="8" t="s">
        <v>13787</v>
      </c>
      <c r="E2423" s="8" t="s">
        <v>13788</v>
      </c>
      <c r="F2423" s="8" t="s">
        <v>13789</v>
      </c>
      <c r="G2423" s="6" t="s">
        <v>38</v>
      </c>
      <c r="H2423" s="6" t="s">
        <v>39</v>
      </c>
      <c r="I2423" s="8" t="s">
        <v>40</v>
      </c>
      <c r="J2423" s="9">
        <v>1</v>
      </c>
      <c r="K2423" s="9">
        <v>250</v>
      </c>
      <c r="L2423" s="9">
        <v>2025</v>
      </c>
      <c r="M2423" s="8" t="s">
        <v>13790</v>
      </c>
      <c r="N2423" s="8" t="s">
        <v>42</v>
      </c>
      <c r="O2423" s="8" t="s">
        <v>246</v>
      </c>
      <c r="P2423" s="6" t="s">
        <v>44</v>
      </c>
      <c r="Q2423" s="8" t="s">
        <v>45</v>
      </c>
      <c r="R2423" s="10" t="s">
        <v>4356</v>
      </c>
      <c r="S2423" s="11"/>
      <c r="T2423" s="6" t="s">
        <v>1080</v>
      </c>
      <c r="U2423" s="24" t="str">
        <f>HYPERLINK("https://media.infra-m.ru/2191/2191608/cover/2191608.jpg", "Обложка")</f>
        <v>Обложка</v>
      </c>
      <c r="V2423" s="24" t="str">
        <f>HYPERLINK("https://znanium.ru/catalog/product/2106202", "Ознакомиться")</f>
        <v>Ознакомиться</v>
      </c>
      <c r="W2423" s="8" t="s">
        <v>2080</v>
      </c>
      <c r="X2423" s="6"/>
      <c r="Y2423" s="6"/>
      <c r="Z2423" s="6"/>
      <c r="AA2423" s="6" t="s">
        <v>290</v>
      </c>
      <c r="AB2423" s="8"/>
    </row>
    <row r="2424" spans="1:28" s="4" customFormat="1" ht="51.95" customHeight="1">
      <c r="A2424" s="5">
        <v>0</v>
      </c>
      <c r="B2424" s="6" t="s">
        <v>13791</v>
      </c>
      <c r="C2424" s="7">
        <v>1728</v>
      </c>
      <c r="D2424" s="8" t="s">
        <v>13792</v>
      </c>
      <c r="E2424" s="8" t="s">
        <v>13793</v>
      </c>
      <c r="F2424" s="8" t="s">
        <v>13794</v>
      </c>
      <c r="G2424" s="6" t="s">
        <v>81</v>
      </c>
      <c r="H2424" s="6" t="s">
        <v>39</v>
      </c>
      <c r="I2424" s="8" t="s">
        <v>40</v>
      </c>
      <c r="J2424" s="9">
        <v>1</v>
      </c>
      <c r="K2424" s="9">
        <v>272</v>
      </c>
      <c r="L2424" s="9">
        <v>2026</v>
      </c>
      <c r="M2424" s="8" t="s">
        <v>13795</v>
      </c>
      <c r="N2424" s="8" t="s">
        <v>42</v>
      </c>
      <c r="O2424" s="8" t="s">
        <v>246</v>
      </c>
      <c r="P2424" s="6" t="s">
        <v>44</v>
      </c>
      <c r="Q2424" s="8" t="s">
        <v>45</v>
      </c>
      <c r="R2424" s="10" t="s">
        <v>13796</v>
      </c>
      <c r="S2424" s="11"/>
      <c r="T2424" s="6"/>
      <c r="U2424" s="24" t="str">
        <f>HYPERLINK("https://media.infra-m.ru/2221/2221542/cover/2221542.jpg", "Обложка")</f>
        <v>Обложка</v>
      </c>
      <c r="V2424" s="24" t="str">
        <f>HYPERLINK("https://znanium.ru/catalog/product/2221542", "Ознакомиться")</f>
        <v>Ознакомиться</v>
      </c>
      <c r="W2424" s="8" t="s">
        <v>3955</v>
      </c>
      <c r="X2424" s="6"/>
      <c r="Y2424" s="6"/>
      <c r="Z2424" s="6"/>
      <c r="AA2424" s="6" t="s">
        <v>58</v>
      </c>
      <c r="AB2424" s="8"/>
    </row>
    <row r="2425" spans="1:28" s="4" customFormat="1" ht="44.1" customHeight="1">
      <c r="A2425" s="5">
        <v>0</v>
      </c>
      <c r="B2425" s="6" t="s">
        <v>13797</v>
      </c>
      <c r="C2425" s="13">
        <v>700.8</v>
      </c>
      <c r="D2425" s="8" t="s">
        <v>13798</v>
      </c>
      <c r="E2425" s="8" t="s">
        <v>13799</v>
      </c>
      <c r="F2425" s="8" t="s">
        <v>11020</v>
      </c>
      <c r="G2425" s="6" t="s">
        <v>38</v>
      </c>
      <c r="H2425" s="6" t="s">
        <v>39</v>
      </c>
      <c r="I2425" s="8" t="s">
        <v>344</v>
      </c>
      <c r="J2425" s="9">
        <v>1</v>
      </c>
      <c r="K2425" s="9">
        <v>130</v>
      </c>
      <c r="L2425" s="9">
        <v>2023</v>
      </c>
      <c r="M2425" s="8" t="s">
        <v>13800</v>
      </c>
      <c r="N2425" s="8" t="s">
        <v>284</v>
      </c>
      <c r="O2425" s="8" t="s">
        <v>383</v>
      </c>
      <c r="P2425" s="6" t="s">
        <v>44</v>
      </c>
      <c r="Q2425" s="8" t="s">
        <v>45</v>
      </c>
      <c r="R2425" s="10" t="s">
        <v>13801</v>
      </c>
      <c r="S2425" s="11"/>
      <c r="T2425" s="6"/>
      <c r="U2425" s="24" t="str">
        <f>HYPERLINK("https://media.infra-m.ru/2006/2006859/cover/2006859.jpg", "Обложка")</f>
        <v>Обложка</v>
      </c>
      <c r="V2425" s="12"/>
      <c r="W2425" s="8" t="s">
        <v>346</v>
      </c>
      <c r="X2425" s="6"/>
      <c r="Y2425" s="6"/>
      <c r="Z2425" s="6"/>
      <c r="AA2425" s="6" t="s">
        <v>68</v>
      </c>
      <c r="AB2425" s="8"/>
    </row>
    <row r="2426" spans="1:28" s="4" customFormat="1" ht="51.95" customHeight="1">
      <c r="A2426" s="5">
        <v>0</v>
      </c>
      <c r="B2426" s="6" t="s">
        <v>13802</v>
      </c>
      <c r="C2426" s="7">
        <v>1344</v>
      </c>
      <c r="D2426" s="8" t="s">
        <v>13803</v>
      </c>
      <c r="E2426" s="8" t="s">
        <v>13804</v>
      </c>
      <c r="F2426" s="8" t="s">
        <v>13805</v>
      </c>
      <c r="G2426" s="6" t="s">
        <v>38</v>
      </c>
      <c r="H2426" s="6" t="s">
        <v>39</v>
      </c>
      <c r="I2426" s="8" t="s">
        <v>164</v>
      </c>
      <c r="J2426" s="9">
        <v>1</v>
      </c>
      <c r="K2426" s="9">
        <v>223</v>
      </c>
      <c r="L2426" s="9">
        <v>2025</v>
      </c>
      <c r="M2426" s="8" t="s">
        <v>13806</v>
      </c>
      <c r="N2426" s="8" t="s">
        <v>42</v>
      </c>
      <c r="O2426" s="8" t="s">
        <v>246</v>
      </c>
      <c r="P2426" s="6" t="s">
        <v>44</v>
      </c>
      <c r="Q2426" s="8" t="s">
        <v>45</v>
      </c>
      <c r="R2426" s="10" t="s">
        <v>13807</v>
      </c>
      <c r="S2426" s="11"/>
      <c r="T2426" s="6"/>
      <c r="U2426" s="24" t="str">
        <f>HYPERLINK("https://media.infra-m.ru/2172/2172569/cover/2172569.jpg", "Обложка")</f>
        <v>Обложка</v>
      </c>
      <c r="V2426" s="24" t="str">
        <f>HYPERLINK("https://znanium.ru/catalog/product/2172569", "Ознакомиться")</f>
        <v>Ознакомиться</v>
      </c>
      <c r="W2426" s="8" t="s">
        <v>167</v>
      </c>
      <c r="X2426" s="6"/>
      <c r="Y2426" s="6"/>
      <c r="Z2426" s="6"/>
      <c r="AA2426" s="6" t="s">
        <v>58</v>
      </c>
      <c r="AB2426" s="8" t="s">
        <v>766</v>
      </c>
    </row>
    <row r="2427" spans="1:28" s="4" customFormat="1" ht="42" customHeight="1">
      <c r="A2427" s="5">
        <v>0</v>
      </c>
      <c r="B2427" s="6" t="s">
        <v>13808</v>
      </c>
      <c r="C2427" s="7">
        <v>1092</v>
      </c>
      <c r="D2427" s="8" t="s">
        <v>13809</v>
      </c>
      <c r="E2427" s="8" t="s">
        <v>13810</v>
      </c>
      <c r="F2427" s="8" t="s">
        <v>13811</v>
      </c>
      <c r="G2427" s="6" t="s">
        <v>132</v>
      </c>
      <c r="H2427" s="6" t="s">
        <v>39</v>
      </c>
      <c r="I2427" s="8" t="s">
        <v>40</v>
      </c>
      <c r="J2427" s="9">
        <v>1</v>
      </c>
      <c r="K2427" s="9">
        <v>170</v>
      </c>
      <c r="L2427" s="9">
        <v>2025</v>
      </c>
      <c r="M2427" s="8" t="s">
        <v>13812</v>
      </c>
      <c r="N2427" s="8" t="s">
        <v>42</v>
      </c>
      <c r="O2427" s="8" t="s">
        <v>246</v>
      </c>
      <c r="P2427" s="6" t="s">
        <v>44</v>
      </c>
      <c r="Q2427" s="8" t="s">
        <v>45</v>
      </c>
      <c r="R2427" s="10" t="s">
        <v>573</v>
      </c>
      <c r="S2427" s="11"/>
      <c r="T2427" s="6"/>
      <c r="U2427" s="24" t="str">
        <f>HYPERLINK("https://media.infra-m.ru/2150/2150883/cover/2150883.jpg", "Обложка")</f>
        <v>Обложка</v>
      </c>
      <c r="V2427" s="24" t="str">
        <f>HYPERLINK("https://znanium.ru/catalog/product/2150883", "Ознакомиться")</f>
        <v>Ознакомиться</v>
      </c>
      <c r="W2427" s="8" t="s">
        <v>10170</v>
      </c>
      <c r="X2427" s="6" t="s">
        <v>3436</v>
      </c>
      <c r="Y2427" s="6"/>
      <c r="Z2427" s="6"/>
      <c r="AA2427" s="6" t="s">
        <v>159</v>
      </c>
      <c r="AB2427" s="8"/>
    </row>
    <row r="2428" spans="1:28" s="4" customFormat="1" ht="51.95" customHeight="1">
      <c r="A2428" s="5">
        <v>0</v>
      </c>
      <c r="B2428" s="6" t="s">
        <v>13813</v>
      </c>
      <c r="C2428" s="7">
        <v>2856</v>
      </c>
      <c r="D2428" s="8" t="s">
        <v>13814</v>
      </c>
      <c r="E2428" s="8" t="s">
        <v>13815</v>
      </c>
      <c r="F2428" s="8" t="s">
        <v>13816</v>
      </c>
      <c r="G2428" s="6" t="s">
        <v>132</v>
      </c>
      <c r="H2428" s="6" t="s">
        <v>1019</v>
      </c>
      <c r="I2428" s="8"/>
      <c r="J2428" s="9">
        <v>1</v>
      </c>
      <c r="K2428" s="9">
        <v>476</v>
      </c>
      <c r="L2428" s="9">
        <v>2025</v>
      </c>
      <c r="M2428" s="8" t="s">
        <v>13817</v>
      </c>
      <c r="N2428" s="8" t="s">
        <v>229</v>
      </c>
      <c r="O2428" s="8" t="s">
        <v>230</v>
      </c>
      <c r="P2428" s="6" t="s">
        <v>1195</v>
      </c>
      <c r="Q2428" s="8" t="s">
        <v>416</v>
      </c>
      <c r="R2428" s="10" t="s">
        <v>13818</v>
      </c>
      <c r="S2428" s="11" t="s">
        <v>13819</v>
      </c>
      <c r="T2428" s="6"/>
      <c r="U2428" s="24" t="str">
        <f>HYPERLINK("https://media.infra-m.ru/2143/2143250/cover/2143250.jpg", "Обложка")</f>
        <v>Обложка</v>
      </c>
      <c r="V2428" s="24" t="str">
        <f>HYPERLINK("https://znanium.ru/catalog/product/2143250", "Ознакомиться")</f>
        <v>Ознакомиться</v>
      </c>
      <c r="W2428" s="8" t="s">
        <v>535</v>
      </c>
      <c r="X2428" s="6"/>
      <c r="Y2428" s="6"/>
      <c r="Z2428" s="6"/>
      <c r="AA2428" s="6" t="s">
        <v>290</v>
      </c>
      <c r="AB2428" s="8"/>
    </row>
    <row r="2429" spans="1:28" s="4" customFormat="1" ht="51.95" customHeight="1">
      <c r="A2429" s="5">
        <v>0</v>
      </c>
      <c r="B2429" s="6" t="s">
        <v>13820</v>
      </c>
      <c r="C2429" s="7">
        <v>1432.8</v>
      </c>
      <c r="D2429" s="8" t="s">
        <v>13821</v>
      </c>
      <c r="E2429" s="8" t="s">
        <v>13822</v>
      </c>
      <c r="F2429" s="8" t="s">
        <v>1727</v>
      </c>
      <c r="G2429" s="6" t="s">
        <v>132</v>
      </c>
      <c r="H2429" s="6" t="s">
        <v>39</v>
      </c>
      <c r="I2429" s="8" t="s">
        <v>40</v>
      </c>
      <c r="J2429" s="9">
        <v>1</v>
      </c>
      <c r="K2429" s="9">
        <v>238</v>
      </c>
      <c r="L2429" s="9">
        <v>2025</v>
      </c>
      <c r="M2429" s="8" t="s">
        <v>13823</v>
      </c>
      <c r="N2429" s="8" t="s">
        <v>42</v>
      </c>
      <c r="O2429" s="8" t="s">
        <v>246</v>
      </c>
      <c r="P2429" s="6" t="s">
        <v>44</v>
      </c>
      <c r="Q2429" s="8" t="s">
        <v>45</v>
      </c>
      <c r="R2429" s="10" t="s">
        <v>13824</v>
      </c>
      <c r="S2429" s="11"/>
      <c r="T2429" s="6"/>
      <c r="U2429" s="24" t="str">
        <f>HYPERLINK("https://media.infra-m.ru/2161/2161461/cover/2161461.jpg", "Обложка")</f>
        <v>Обложка</v>
      </c>
      <c r="V2429" s="24" t="str">
        <f>HYPERLINK("https://znanium.ru/catalog/product/1842069", "Ознакомиться")</f>
        <v>Ознакомиться</v>
      </c>
      <c r="W2429" s="8" t="s">
        <v>1336</v>
      </c>
      <c r="X2429" s="6"/>
      <c r="Y2429" s="6"/>
      <c r="Z2429" s="6"/>
      <c r="AA2429" s="6" t="s">
        <v>199</v>
      </c>
      <c r="AB2429" s="8"/>
    </row>
    <row r="2430" spans="1:28" s="4" customFormat="1" ht="44.1" customHeight="1">
      <c r="A2430" s="5">
        <v>0</v>
      </c>
      <c r="B2430" s="6" t="s">
        <v>13825</v>
      </c>
      <c r="C2430" s="13">
        <v>780</v>
      </c>
      <c r="D2430" s="8" t="s">
        <v>13826</v>
      </c>
      <c r="E2430" s="8" t="s">
        <v>13827</v>
      </c>
      <c r="F2430" s="8" t="s">
        <v>13828</v>
      </c>
      <c r="G2430" s="6" t="s">
        <v>38</v>
      </c>
      <c r="H2430" s="6" t="s">
        <v>39</v>
      </c>
      <c r="I2430" s="8" t="s">
        <v>40</v>
      </c>
      <c r="J2430" s="9">
        <v>1</v>
      </c>
      <c r="K2430" s="9">
        <v>124</v>
      </c>
      <c r="L2430" s="9">
        <v>2025</v>
      </c>
      <c r="M2430" s="8" t="s">
        <v>13829</v>
      </c>
      <c r="N2430" s="8" t="s">
        <v>42</v>
      </c>
      <c r="O2430" s="8" t="s">
        <v>246</v>
      </c>
      <c r="P2430" s="6" t="s">
        <v>44</v>
      </c>
      <c r="Q2430" s="8" t="s">
        <v>45</v>
      </c>
      <c r="R2430" s="10" t="s">
        <v>13830</v>
      </c>
      <c r="S2430" s="11"/>
      <c r="T2430" s="6"/>
      <c r="U2430" s="24" t="str">
        <f>HYPERLINK("https://media.infra-m.ru/2207/2207149/cover/2207149.jpg", "Обложка")</f>
        <v>Обложка</v>
      </c>
      <c r="V2430" s="24" t="str">
        <f>HYPERLINK("https://znanium.ru/catalog/product/1052185", "Ознакомиться")</f>
        <v>Ознакомиться</v>
      </c>
      <c r="W2430" s="8" t="s">
        <v>13617</v>
      </c>
      <c r="X2430" s="6"/>
      <c r="Y2430" s="6"/>
      <c r="Z2430" s="6"/>
      <c r="AA2430" s="6" t="s">
        <v>339</v>
      </c>
      <c r="AB2430" s="8"/>
    </row>
    <row r="2431" spans="1:28" s="4" customFormat="1" ht="42" customHeight="1">
      <c r="A2431" s="5">
        <v>0</v>
      </c>
      <c r="B2431" s="6" t="s">
        <v>13831</v>
      </c>
      <c r="C2431" s="13">
        <v>600</v>
      </c>
      <c r="D2431" s="8" t="s">
        <v>13832</v>
      </c>
      <c r="E2431" s="8" t="s">
        <v>13833</v>
      </c>
      <c r="F2431" s="8" t="s">
        <v>2786</v>
      </c>
      <c r="G2431" s="6" t="s">
        <v>38</v>
      </c>
      <c r="H2431" s="6" t="s">
        <v>39</v>
      </c>
      <c r="I2431" s="8" t="s">
        <v>40</v>
      </c>
      <c r="J2431" s="9">
        <v>1</v>
      </c>
      <c r="K2431" s="9">
        <v>103</v>
      </c>
      <c r="L2431" s="9">
        <v>2024</v>
      </c>
      <c r="M2431" s="8" t="s">
        <v>13834</v>
      </c>
      <c r="N2431" s="8" t="s">
        <v>42</v>
      </c>
      <c r="O2431" s="8" t="s">
        <v>101</v>
      </c>
      <c r="P2431" s="6" t="s">
        <v>44</v>
      </c>
      <c r="Q2431" s="8" t="s">
        <v>45</v>
      </c>
      <c r="R2431" s="10" t="s">
        <v>2946</v>
      </c>
      <c r="S2431" s="11"/>
      <c r="T2431" s="6"/>
      <c r="U2431" s="24" t="str">
        <f>HYPERLINK("https://media.infra-m.ru/2151/2151398/cover/2151398.jpg", "Обложка")</f>
        <v>Обложка</v>
      </c>
      <c r="V2431" s="24" t="str">
        <f>HYPERLINK("https://znanium.ru/catalog/product/2151398", "Ознакомиться")</f>
        <v>Ознакомиться</v>
      </c>
      <c r="W2431" s="8" t="s">
        <v>2789</v>
      </c>
      <c r="X2431" s="6"/>
      <c r="Y2431" s="6"/>
      <c r="Z2431" s="6"/>
      <c r="AA2431" s="6" t="s">
        <v>369</v>
      </c>
      <c r="AB2431" s="8"/>
    </row>
    <row r="2432" spans="1:28" s="4" customFormat="1" ht="51.95" customHeight="1">
      <c r="A2432" s="5">
        <v>0</v>
      </c>
      <c r="B2432" s="6" t="s">
        <v>13835</v>
      </c>
      <c r="C2432" s="13">
        <v>796.8</v>
      </c>
      <c r="D2432" s="8" t="s">
        <v>13836</v>
      </c>
      <c r="E2432" s="8" t="s">
        <v>13837</v>
      </c>
      <c r="F2432" s="8" t="s">
        <v>13838</v>
      </c>
      <c r="G2432" s="6" t="s">
        <v>132</v>
      </c>
      <c r="H2432" s="6" t="s">
        <v>1019</v>
      </c>
      <c r="I2432" s="8" t="s">
        <v>1020</v>
      </c>
      <c r="J2432" s="9">
        <v>1</v>
      </c>
      <c r="K2432" s="9">
        <v>144</v>
      </c>
      <c r="L2432" s="9">
        <v>2024</v>
      </c>
      <c r="M2432" s="8" t="s">
        <v>13839</v>
      </c>
      <c r="N2432" s="8" t="s">
        <v>42</v>
      </c>
      <c r="O2432" s="8" t="s">
        <v>189</v>
      </c>
      <c r="P2432" s="6" t="s">
        <v>44</v>
      </c>
      <c r="Q2432" s="8" t="s">
        <v>45</v>
      </c>
      <c r="R2432" s="10" t="s">
        <v>13840</v>
      </c>
      <c r="S2432" s="11"/>
      <c r="T2432" s="6"/>
      <c r="U2432" s="24" t="str">
        <f>HYPERLINK("https://media.infra-m.ru/2080/2080106/cover/2080106.jpg", "Обложка")</f>
        <v>Обложка</v>
      </c>
      <c r="V2432" s="24" t="str">
        <f>HYPERLINK("https://znanium.ru/catalog/product/1841421", "Ознакомиться")</f>
        <v>Ознакомиться</v>
      </c>
      <c r="W2432" s="8" t="s">
        <v>167</v>
      </c>
      <c r="X2432" s="6"/>
      <c r="Y2432" s="6"/>
      <c r="Z2432" s="6"/>
      <c r="AA2432" s="6" t="s">
        <v>1154</v>
      </c>
      <c r="AB2432" s="8"/>
    </row>
    <row r="2433" spans="1:28" s="4" customFormat="1" ht="44.1" customHeight="1">
      <c r="A2433" s="5">
        <v>0</v>
      </c>
      <c r="B2433" s="6" t="s">
        <v>13841</v>
      </c>
      <c r="C2433" s="7">
        <v>1308</v>
      </c>
      <c r="D2433" s="8" t="s">
        <v>13842</v>
      </c>
      <c r="E2433" s="8" t="s">
        <v>13843</v>
      </c>
      <c r="F2433" s="8" t="s">
        <v>13844</v>
      </c>
      <c r="G2433" s="6" t="s">
        <v>38</v>
      </c>
      <c r="H2433" s="6" t="s">
        <v>39</v>
      </c>
      <c r="I2433" s="8" t="s">
        <v>40</v>
      </c>
      <c r="J2433" s="9">
        <v>1</v>
      </c>
      <c r="K2433" s="9">
        <v>289</v>
      </c>
      <c r="L2433" s="9">
        <v>2022</v>
      </c>
      <c r="M2433" s="8" t="s">
        <v>13845</v>
      </c>
      <c r="N2433" s="8" t="s">
        <v>42</v>
      </c>
      <c r="O2433" s="8" t="s">
        <v>246</v>
      </c>
      <c r="P2433" s="6" t="s">
        <v>44</v>
      </c>
      <c r="Q2433" s="8" t="s">
        <v>45</v>
      </c>
      <c r="R2433" s="10" t="s">
        <v>1125</v>
      </c>
      <c r="S2433" s="11"/>
      <c r="T2433" s="6"/>
      <c r="U2433" s="24" t="str">
        <f>HYPERLINK("https://media.infra-m.ru/1760/1760127/cover/1760127.jpg", "Обложка")</f>
        <v>Обложка</v>
      </c>
      <c r="V2433" s="24" t="str">
        <f>HYPERLINK("https://znanium.ru/catalog/product/1760127", "Ознакомиться")</f>
        <v>Ознакомиться</v>
      </c>
      <c r="W2433" s="8" t="s">
        <v>1049</v>
      </c>
      <c r="X2433" s="6"/>
      <c r="Y2433" s="6"/>
      <c r="Z2433" s="6"/>
      <c r="AA2433" s="6" t="s">
        <v>290</v>
      </c>
      <c r="AB2433" s="8"/>
    </row>
    <row r="2434" spans="1:28" s="4" customFormat="1" ht="42" customHeight="1">
      <c r="A2434" s="5">
        <v>0</v>
      </c>
      <c r="B2434" s="6" t="s">
        <v>13846</v>
      </c>
      <c r="C2434" s="7">
        <v>1444.8</v>
      </c>
      <c r="D2434" s="8" t="s">
        <v>13847</v>
      </c>
      <c r="E2434" s="8" t="s">
        <v>13848</v>
      </c>
      <c r="F2434" s="8" t="s">
        <v>13849</v>
      </c>
      <c r="G2434" s="6" t="s">
        <v>38</v>
      </c>
      <c r="H2434" s="6" t="s">
        <v>39</v>
      </c>
      <c r="I2434" s="8" t="s">
        <v>164</v>
      </c>
      <c r="J2434" s="9">
        <v>1</v>
      </c>
      <c r="K2434" s="9">
        <v>250</v>
      </c>
      <c r="L2434" s="9">
        <v>2024</v>
      </c>
      <c r="M2434" s="8" t="s">
        <v>13850</v>
      </c>
      <c r="N2434" s="8" t="s">
        <v>42</v>
      </c>
      <c r="O2434" s="8" t="s">
        <v>189</v>
      </c>
      <c r="P2434" s="6" t="s">
        <v>44</v>
      </c>
      <c r="Q2434" s="8" t="s">
        <v>45</v>
      </c>
      <c r="R2434" s="10" t="s">
        <v>1426</v>
      </c>
      <c r="S2434" s="11"/>
      <c r="T2434" s="6"/>
      <c r="U2434" s="24" t="str">
        <f>HYPERLINK("https://media.infra-m.ru/2144/2144113/cover/2144113.jpg", "Обложка")</f>
        <v>Обложка</v>
      </c>
      <c r="V2434" s="24" t="str">
        <f>HYPERLINK("https://znanium.ru/catalog/product/1911030", "Ознакомиться")</f>
        <v>Ознакомиться</v>
      </c>
      <c r="W2434" s="8" t="s">
        <v>167</v>
      </c>
      <c r="X2434" s="6"/>
      <c r="Y2434" s="6"/>
      <c r="Z2434" s="6"/>
      <c r="AA2434" s="6" t="s">
        <v>119</v>
      </c>
      <c r="AB2434" s="8"/>
    </row>
    <row r="2435" spans="1:28" s="4" customFormat="1" ht="42" customHeight="1">
      <c r="A2435" s="5">
        <v>0</v>
      </c>
      <c r="B2435" s="6" t="s">
        <v>13851</v>
      </c>
      <c r="C2435" s="13">
        <v>976.8</v>
      </c>
      <c r="D2435" s="8" t="s">
        <v>13852</v>
      </c>
      <c r="E2435" s="8" t="s">
        <v>13853</v>
      </c>
      <c r="F2435" s="8" t="s">
        <v>13854</v>
      </c>
      <c r="G2435" s="6" t="s">
        <v>38</v>
      </c>
      <c r="H2435" s="6" t="s">
        <v>39</v>
      </c>
      <c r="I2435" s="8" t="s">
        <v>40</v>
      </c>
      <c r="J2435" s="9">
        <v>1</v>
      </c>
      <c r="K2435" s="9">
        <v>156</v>
      </c>
      <c r="L2435" s="9">
        <v>2025</v>
      </c>
      <c r="M2435" s="8" t="s">
        <v>13855</v>
      </c>
      <c r="N2435" s="8" t="s">
        <v>42</v>
      </c>
      <c r="O2435" s="8" t="s">
        <v>189</v>
      </c>
      <c r="P2435" s="6" t="s">
        <v>44</v>
      </c>
      <c r="Q2435" s="8" t="s">
        <v>45</v>
      </c>
      <c r="R2435" s="10" t="s">
        <v>13101</v>
      </c>
      <c r="S2435" s="11"/>
      <c r="T2435" s="6"/>
      <c r="U2435" s="24" t="str">
        <f>HYPERLINK("https://media.infra-m.ru/2196/2196946/cover/2196946.jpg", "Обложка")</f>
        <v>Обложка</v>
      </c>
      <c r="V2435" s="24" t="str">
        <f>HYPERLINK("https://znanium.ru/catalog/product/390880", "Ознакомиться")</f>
        <v>Ознакомиться</v>
      </c>
      <c r="W2435" s="8" t="s">
        <v>191</v>
      </c>
      <c r="X2435" s="6"/>
      <c r="Y2435" s="6"/>
      <c r="Z2435" s="6"/>
      <c r="AA2435" s="6" t="s">
        <v>48</v>
      </c>
      <c r="AB2435" s="8"/>
    </row>
    <row r="2436" spans="1:28" s="4" customFormat="1" ht="51.95" customHeight="1">
      <c r="A2436" s="5">
        <v>0</v>
      </c>
      <c r="B2436" s="6" t="s">
        <v>13856</v>
      </c>
      <c r="C2436" s="13">
        <v>989.9</v>
      </c>
      <c r="D2436" s="8" t="s">
        <v>13857</v>
      </c>
      <c r="E2436" s="8" t="s">
        <v>13858</v>
      </c>
      <c r="F2436" s="8" t="s">
        <v>13859</v>
      </c>
      <c r="G2436" s="6" t="s">
        <v>132</v>
      </c>
      <c r="H2436" s="6" t="s">
        <v>39</v>
      </c>
      <c r="I2436" s="8" t="s">
        <v>40</v>
      </c>
      <c r="J2436" s="9">
        <v>1</v>
      </c>
      <c r="K2436" s="9">
        <v>236</v>
      </c>
      <c r="L2436" s="9">
        <v>2020</v>
      </c>
      <c r="M2436" s="8" t="s">
        <v>13860</v>
      </c>
      <c r="N2436" s="8" t="s">
        <v>42</v>
      </c>
      <c r="O2436" s="8" t="s">
        <v>189</v>
      </c>
      <c r="P2436" s="6" t="s">
        <v>44</v>
      </c>
      <c r="Q2436" s="8" t="s">
        <v>45</v>
      </c>
      <c r="R2436" s="10" t="s">
        <v>13861</v>
      </c>
      <c r="S2436" s="11"/>
      <c r="T2436" s="6"/>
      <c r="U2436" s="24" t="str">
        <f>HYPERLINK("https://media.infra-m.ru/1047/1047105/cover/1047105.jpg", "Обложка")</f>
        <v>Обложка</v>
      </c>
      <c r="V2436" s="24" t="str">
        <f>HYPERLINK("https://znanium.ru/catalog/product/947763", "Ознакомиться")</f>
        <v>Ознакомиться</v>
      </c>
      <c r="W2436" s="8" t="s">
        <v>10799</v>
      </c>
      <c r="X2436" s="6"/>
      <c r="Y2436" s="6"/>
      <c r="Z2436" s="6"/>
      <c r="AA2436" s="6" t="s">
        <v>369</v>
      </c>
      <c r="AB2436" s="8"/>
    </row>
    <row r="2437" spans="1:28" s="4" customFormat="1" ht="51.95" customHeight="1">
      <c r="A2437" s="5">
        <v>0</v>
      </c>
      <c r="B2437" s="6" t="s">
        <v>13862</v>
      </c>
      <c r="C2437" s="13">
        <v>948</v>
      </c>
      <c r="D2437" s="8" t="s">
        <v>13863</v>
      </c>
      <c r="E2437" s="8" t="s">
        <v>13864</v>
      </c>
      <c r="F2437" s="8" t="s">
        <v>13865</v>
      </c>
      <c r="G2437" s="6" t="s">
        <v>38</v>
      </c>
      <c r="H2437" s="6" t="s">
        <v>39</v>
      </c>
      <c r="I2437" s="8" t="s">
        <v>40</v>
      </c>
      <c r="J2437" s="9">
        <v>1</v>
      </c>
      <c r="K2437" s="9">
        <v>199</v>
      </c>
      <c r="L2437" s="9">
        <v>2021</v>
      </c>
      <c r="M2437" s="8" t="s">
        <v>13866</v>
      </c>
      <c r="N2437" s="8" t="s">
        <v>42</v>
      </c>
      <c r="O2437" s="8" t="s">
        <v>189</v>
      </c>
      <c r="P2437" s="6" t="s">
        <v>44</v>
      </c>
      <c r="Q2437" s="8" t="s">
        <v>45</v>
      </c>
      <c r="R2437" s="10" t="s">
        <v>13867</v>
      </c>
      <c r="S2437" s="11"/>
      <c r="T2437" s="6"/>
      <c r="U2437" s="24" t="str">
        <f>HYPERLINK("https://media.infra-m.ru/1206/1206681/cover/1206681.jpg", "Обложка")</f>
        <v>Обложка</v>
      </c>
      <c r="V2437" s="24" t="str">
        <f>HYPERLINK("https://znanium.ru/catalog/product/1206681", "Ознакомиться")</f>
        <v>Ознакомиться</v>
      </c>
      <c r="W2437" s="8" t="s">
        <v>5156</v>
      </c>
      <c r="X2437" s="6"/>
      <c r="Y2437" s="6"/>
      <c r="Z2437" s="6"/>
      <c r="AA2437" s="6" t="s">
        <v>199</v>
      </c>
      <c r="AB2437" s="8"/>
    </row>
    <row r="2438" spans="1:28" s="4" customFormat="1" ht="42" customHeight="1">
      <c r="A2438" s="5">
        <v>0</v>
      </c>
      <c r="B2438" s="6" t="s">
        <v>13868</v>
      </c>
      <c r="C2438" s="7">
        <v>1548</v>
      </c>
      <c r="D2438" s="8" t="s">
        <v>13869</v>
      </c>
      <c r="E2438" s="8" t="s">
        <v>13870</v>
      </c>
      <c r="F2438" s="8" t="s">
        <v>13871</v>
      </c>
      <c r="G2438" s="6" t="s">
        <v>38</v>
      </c>
      <c r="H2438" s="6" t="s">
        <v>39</v>
      </c>
      <c r="I2438" s="8" t="s">
        <v>40</v>
      </c>
      <c r="J2438" s="9">
        <v>1</v>
      </c>
      <c r="K2438" s="9">
        <v>326</v>
      </c>
      <c r="L2438" s="9">
        <v>2022</v>
      </c>
      <c r="M2438" s="8" t="s">
        <v>13872</v>
      </c>
      <c r="N2438" s="8" t="s">
        <v>220</v>
      </c>
      <c r="O2438" s="8" t="s">
        <v>296</v>
      </c>
      <c r="P2438" s="6" t="s">
        <v>44</v>
      </c>
      <c r="Q2438" s="8" t="s">
        <v>45</v>
      </c>
      <c r="R2438" s="10" t="s">
        <v>13873</v>
      </c>
      <c r="S2438" s="11"/>
      <c r="T2438" s="6"/>
      <c r="U2438" s="24" t="str">
        <f>HYPERLINK("https://media.infra-m.ru/1836/1836246/cover/1836246.jpg", "Обложка")</f>
        <v>Обложка</v>
      </c>
      <c r="V2438" s="24" t="str">
        <f>HYPERLINK("https://znanium.ru/catalog/product/1836246", "Ознакомиться")</f>
        <v>Ознакомиться</v>
      </c>
      <c r="W2438" s="8" t="s">
        <v>13874</v>
      </c>
      <c r="X2438" s="6"/>
      <c r="Y2438" s="6"/>
      <c r="Z2438" s="6"/>
      <c r="AA2438" s="6" t="s">
        <v>111</v>
      </c>
      <c r="AB2438" s="8" t="s">
        <v>11935</v>
      </c>
    </row>
    <row r="2439" spans="1:28" s="4" customFormat="1" ht="42" customHeight="1">
      <c r="A2439" s="5">
        <v>0</v>
      </c>
      <c r="B2439" s="6" t="s">
        <v>13875</v>
      </c>
      <c r="C2439" s="7">
        <v>1812</v>
      </c>
      <c r="D2439" s="8" t="s">
        <v>13876</v>
      </c>
      <c r="E2439" s="8" t="s">
        <v>13877</v>
      </c>
      <c r="F2439" s="8" t="s">
        <v>13878</v>
      </c>
      <c r="G2439" s="6" t="s">
        <v>81</v>
      </c>
      <c r="H2439" s="6" t="s">
        <v>39</v>
      </c>
      <c r="I2439" s="8" t="s">
        <v>40</v>
      </c>
      <c r="J2439" s="9">
        <v>1</v>
      </c>
      <c r="K2439" s="9">
        <v>335</v>
      </c>
      <c r="L2439" s="9">
        <v>2023</v>
      </c>
      <c r="M2439" s="8" t="s">
        <v>13879</v>
      </c>
      <c r="N2439" s="8" t="s">
        <v>54</v>
      </c>
      <c r="O2439" s="8" t="s">
        <v>140</v>
      </c>
      <c r="P2439" s="6" t="s">
        <v>44</v>
      </c>
      <c r="Q2439" s="8" t="s">
        <v>45</v>
      </c>
      <c r="R2439" s="10" t="s">
        <v>13880</v>
      </c>
      <c r="S2439" s="11"/>
      <c r="T2439" s="6"/>
      <c r="U2439" s="24" t="str">
        <f>HYPERLINK("https://media.infra-m.ru/1898/1898363/cover/1898363.jpg", "Обложка")</f>
        <v>Обложка</v>
      </c>
      <c r="V2439" s="24" t="str">
        <f>HYPERLINK("https://znanium.ru/catalog/product/1898363", "Ознакомиться")</f>
        <v>Ознакомиться</v>
      </c>
      <c r="W2439" s="8" t="s">
        <v>3600</v>
      </c>
      <c r="X2439" s="6"/>
      <c r="Y2439" s="6"/>
      <c r="Z2439" s="6"/>
      <c r="AA2439" s="6" t="s">
        <v>76</v>
      </c>
      <c r="AB2439" s="8"/>
    </row>
    <row r="2440" spans="1:28" s="4" customFormat="1" ht="42" customHeight="1">
      <c r="A2440" s="5">
        <v>0</v>
      </c>
      <c r="B2440" s="6" t="s">
        <v>13881</v>
      </c>
      <c r="C2440" s="13">
        <v>936</v>
      </c>
      <c r="D2440" s="8" t="s">
        <v>13882</v>
      </c>
      <c r="E2440" s="8" t="s">
        <v>13883</v>
      </c>
      <c r="F2440" s="8" t="s">
        <v>697</v>
      </c>
      <c r="G2440" s="6" t="s">
        <v>38</v>
      </c>
      <c r="H2440" s="6" t="s">
        <v>39</v>
      </c>
      <c r="I2440" s="8" t="s">
        <v>40</v>
      </c>
      <c r="J2440" s="9">
        <v>1</v>
      </c>
      <c r="K2440" s="9">
        <v>183</v>
      </c>
      <c r="L2440" s="9">
        <v>2022</v>
      </c>
      <c r="M2440" s="8" t="s">
        <v>13884</v>
      </c>
      <c r="N2440" s="8" t="s">
        <v>54</v>
      </c>
      <c r="O2440" s="8" t="s">
        <v>91</v>
      </c>
      <c r="P2440" s="6" t="s">
        <v>44</v>
      </c>
      <c r="Q2440" s="8" t="s">
        <v>45</v>
      </c>
      <c r="R2440" s="10" t="s">
        <v>3174</v>
      </c>
      <c r="S2440" s="11"/>
      <c r="T2440" s="6"/>
      <c r="U2440" s="24" t="str">
        <f>HYPERLINK("https://media.infra-m.ru/1841/1841828/cover/1841828.jpg", "Обложка")</f>
        <v>Обложка</v>
      </c>
      <c r="V2440" s="24" t="str">
        <f>HYPERLINK("https://znanium.ru/catalog/product/1841828", "Ознакомиться")</f>
        <v>Ознакомиться</v>
      </c>
      <c r="W2440" s="8" t="s">
        <v>699</v>
      </c>
      <c r="X2440" s="6"/>
      <c r="Y2440" s="6"/>
      <c r="Z2440" s="6"/>
      <c r="AA2440" s="6" t="s">
        <v>111</v>
      </c>
      <c r="AB2440" s="8" t="s">
        <v>11935</v>
      </c>
    </row>
    <row r="2441" spans="1:28" s="4" customFormat="1" ht="44.1" customHeight="1">
      <c r="A2441" s="5">
        <v>0</v>
      </c>
      <c r="B2441" s="6" t="s">
        <v>13885</v>
      </c>
      <c r="C2441" s="7">
        <v>1212</v>
      </c>
      <c r="D2441" s="8" t="s">
        <v>13886</v>
      </c>
      <c r="E2441" s="8" t="s">
        <v>13887</v>
      </c>
      <c r="F2441" s="8" t="s">
        <v>13888</v>
      </c>
      <c r="G2441" s="6" t="s">
        <v>81</v>
      </c>
      <c r="H2441" s="6" t="s">
        <v>39</v>
      </c>
      <c r="I2441" s="8" t="s">
        <v>40</v>
      </c>
      <c r="J2441" s="9">
        <v>1</v>
      </c>
      <c r="K2441" s="9">
        <v>202</v>
      </c>
      <c r="L2441" s="9">
        <v>2025</v>
      </c>
      <c r="M2441" s="8" t="s">
        <v>13889</v>
      </c>
      <c r="N2441" s="8" t="s">
        <v>54</v>
      </c>
      <c r="O2441" s="8" t="s">
        <v>140</v>
      </c>
      <c r="P2441" s="6" t="s">
        <v>44</v>
      </c>
      <c r="Q2441" s="8" t="s">
        <v>45</v>
      </c>
      <c r="R2441" s="10" t="s">
        <v>13890</v>
      </c>
      <c r="S2441" s="11"/>
      <c r="T2441" s="6" t="s">
        <v>1080</v>
      </c>
      <c r="U2441" s="24" t="str">
        <f>HYPERLINK("https://media.infra-m.ru/2160/2160652/cover/2160652.jpg", "Обложка")</f>
        <v>Обложка</v>
      </c>
      <c r="V2441" s="24" t="str">
        <f>HYPERLINK("https://znanium.ru/catalog/product/2160652", "Ознакомиться")</f>
        <v>Ознакомиться</v>
      </c>
      <c r="W2441" s="8" t="s">
        <v>13891</v>
      </c>
      <c r="X2441" s="6"/>
      <c r="Y2441" s="6"/>
      <c r="Z2441" s="6"/>
      <c r="AA2441" s="6" t="s">
        <v>68</v>
      </c>
      <c r="AB2441" s="8"/>
    </row>
    <row r="2442" spans="1:28" s="4" customFormat="1" ht="44.1" customHeight="1">
      <c r="A2442" s="5">
        <v>0</v>
      </c>
      <c r="B2442" s="6" t="s">
        <v>13892</v>
      </c>
      <c r="C2442" s="13">
        <v>432</v>
      </c>
      <c r="D2442" s="8" t="s">
        <v>13893</v>
      </c>
      <c r="E2442" s="8" t="s">
        <v>13894</v>
      </c>
      <c r="F2442" s="8" t="s">
        <v>13895</v>
      </c>
      <c r="G2442" s="6" t="s">
        <v>38</v>
      </c>
      <c r="H2442" s="6" t="s">
        <v>39</v>
      </c>
      <c r="I2442" s="8" t="s">
        <v>40</v>
      </c>
      <c r="J2442" s="9">
        <v>1</v>
      </c>
      <c r="K2442" s="9">
        <v>80</v>
      </c>
      <c r="L2442" s="9">
        <v>2023</v>
      </c>
      <c r="M2442" s="8" t="s">
        <v>13896</v>
      </c>
      <c r="N2442" s="8" t="s">
        <v>229</v>
      </c>
      <c r="O2442" s="8" t="s">
        <v>230</v>
      </c>
      <c r="P2442" s="6" t="s">
        <v>44</v>
      </c>
      <c r="Q2442" s="8" t="s">
        <v>45</v>
      </c>
      <c r="R2442" s="10" t="s">
        <v>13897</v>
      </c>
      <c r="S2442" s="11"/>
      <c r="T2442" s="6"/>
      <c r="U2442" s="24" t="str">
        <f>HYPERLINK("https://media.infra-m.ru/1896/1896424/cover/1896424.jpg", "Обложка")</f>
        <v>Обложка</v>
      </c>
      <c r="V2442" s="24" t="str">
        <f>HYPERLINK("https://znanium.ru/catalog/product/1896424", "Ознакомиться")</f>
        <v>Ознакомиться</v>
      </c>
      <c r="W2442" s="8" t="s">
        <v>93</v>
      </c>
      <c r="X2442" s="6"/>
      <c r="Y2442" s="6"/>
      <c r="Z2442" s="6"/>
      <c r="AA2442" s="6" t="s">
        <v>127</v>
      </c>
      <c r="AB2442" s="8"/>
    </row>
    <row r="2443" spans="1:28" s="4" customFormat="1" ht="42" customHeight="1">
      <c r="A2443" s="5">
        <v>0</v>
      </c>
      <c r="B2443" s="6" t="s">
        <v>13898</v>
      </c>
      <c r="C2443" s="7">
        <v>1188</v>
      </c>
      <c r="D2443" s="8" t="s">
        <v>13899</v>
      </c>
      <c r="E2443" s="8" t="s">
        <v>13900</v>
      </c>
      <c r="F2443" s="8" t="s">
        <v>13901</v>
      </c>
      <c r="G2443" s="6" t="s">
        <v>81</v>
      </c>
      <c r="H2443" s="6" t="s">
        <v>39</v>
      </c>
      <c r="I2443" s="8" t="s">
        <v>40</v>
      </c>
      <c r="J2443" s="9">
        <v>1</v>
      </c>
      <c r="K2443" s="9">
        <v>187</v>
      </c>
      <c r="L2443" s="9">
        <v>2025</v>
      </c>
      <c r="M2443" s="8" t="s">
        <v>13902</v>
      </c>
      <c r="N2443" s="8" t="s">
        <v>42</v>
      </c>
      <c r="O2443" s="8" t="s">
        <v>246</v>
      </c>
      <c r="P2443" s="6" t="s">
        <v>44</v>
      </c>
      <c r="Q2443" s="8" t="s">
        <v>45</v>
      </c>
      <c r="R2443" s="10" t="s">
        <v>13903</v>
      </c>
      <c r="S2443" s="11"/>
      <c r="T2443" s="6"/>
      <c r="U2443" s="24" t="str">
        <f>HYPERLINK("https://media.infra-m.ru/2179/2179091/cover/2179091.jpg", "Обложка")</f>
        <v>Обложка</v>
      </c>
      <c r="V2443" s="24" t="str">
        <f>HYPERLINK("https://znanium.ru/catalog/product/2179091", "Ознакомиться")</f>
        <v>Ознакомиться</v>
      </c>
      <c r="W2443" s="8" t="s">
        <v>641</v>
      </c>
      <c r="X2443" s="6"/>
      <c r="Y2443" s="6"/>
      <c r="Z2443" s="6"/>
      <c r="AA2443" s="6" t="s">
        <v>119</v>
      </c>
      <c r="AB2443" s="8"/>
    </row>
    <row r="2444" spans="1:28" s="4" customFormat="1" ht="42" customHeight="1">
      <c r="A2444" s="5">
        <v>0</v>
      </c>
      <c r="B2444" s="6" t="s">
        <v>13904</v>
      </c>
      <c r="C2444" s="13">
        <v>768</v>
      </c>
      <c r="D2444" s="8" t="s">
        <v>13905</v>
      </c>
      <c r="E2444" s="8" t="s">
        <v>13906</v>
      </c>
      <c r="F2444" s="8" t="s">
        <v>1891</v>
      </c>
      <c r="G2444" s="6" t="s">
        <v>81</v>
      </c>
      <c r="H2444" s="6" t="s">
        <v>39</v>
      </c>
      <c r="I2444" s="8" t="s">
        <v>1893</v>
      </c>
      <c r="J2444" s="9">
        <v>1</v>
      </c>
      <c r="K2444" s="9">
        <v>246</v>
      </c>
      <c r="L2444" s="9">
        <v>2026</v>
      </c>
      <c r="M2444" s="8" t="s">
        <v>13907</v>
      </c>
      <c r="N2444" s="8" t="s">
        <v>42</v>
      </c>
      <c r="O2444" s="8" t="s">
        <v>1315</v>
      </c>
      <c r="P2444" s="6" t="s">
        <v>2854</v>
      </c>
      <c r="Q2444" s="8" t="s">
        <v>287</v>
      </c>
      <c r="R2444" s="10" t="s">
        <v>2855</v>
      </c>
      <c r="S2444" s="11"/>
      <c r="T2444" s="6"/>
      <c r="U2444" s="24" t="str">
        <f>HYPERLINK("https://media.infra-m.ru/2226/2226223/cover/2226223.jpg", "Обложка")</f>
        <v>Обложка</v>
      </c>
      <c r="V2444" s="24" t="str">
        <f>HYPERLINK("https://znanium.ru/catalog/product/2226223", "Ознакомиться")</f>
        <v>Ознакомиться</v>
      </c>
      <c r="W2444" s="8"/>
      <c r="X2444" s="6"/>
      <c r="Y2444" s="6"/>
      <c r="Z2444" s="6"/>
      <c r="AA2444" s="6" t="s">
        <v>2773</v>
      </c>
      <c r="AB2444" s="8"/>
    </row>
    <row r="2445" spans="1:28" s="4" customFormat="1" ht="42" customHeight="1">
      <c r="A2445" s="5">
        <v>0</v>
      </c>
      <c r="B2445" s="6" t="s">
        <v>13908</v>
      </c>
      <c r="C2445" s="13">
        <v>492</v>
      </c>
      <c r="D2445" s="8" t="s">
        <v>13909</v>
      </c>
      <c r="E2445" s="8" t="s">
        <v>13910</v>
      </c>
      <c r="F2445" s="8" t="s">
        <v>1891</v>
      </c>
      <c r="G2445" s="6" t="s">
        <v>81</v>
      </c>
      <c r="H2445" s="6" t="s">
        <v>39</v>
      </c>
      <c r="I2445" s="8" t="s">
        <v>1893</v>
      </c>
      <c r="J2445" s="9">
        <v>1</v>
      </c>
      <c r="K2445" s="9">
        <v>246</v>
      </c>
      <c r="L2445" s="9">
        <v>2024</v>
      </c>
      <c r="M2445" s="8" t="s">
        <v>13911</v>
      </c>
      <c r="N2445" s="8" t="s">
        <v>42</v>
      </c>
      <c r="O2445" s="8" t="s">
        <v>1315</v>
      </c>
      <c r="P2445" s="6" t="s">
        <v>2854</v>
      </c>
      <c r="Q2445" s="8" t="s">
        <v>287</v>
      </c>
      <c r="R2445" s="10" t="s">
        <v>2855</v>
      </c>
      <c r="S2445" s="11"/>
      <c r="T2445" s="6"/>
      <c r="U2445" s="24" t="str">
        <f>HYPERLINK("https://media.infra-m.ru/2130/2130735/cover/2130735.jpg", "Обложка")</f>
        <v>Обложка</v>
      </c>
      <c r="V2445" s="24" t="str">
        <f>HYPERLINK("https://znanium.ru/catalog/product/2226223", "Ознакомиться")</f>
        <v>Ознакомиться</v>
      </c>
      <c r="W2445" s="8"/>
      <c r="X2445" s="6"/>
      <c r="Y2445" s="6"/>
      <c r="Z2445" s="6"/>
      <c r="AA2445" s="6" t="s">
        <v>119</v>
      </c>
      <c r="AB2445" s="8"/>
    </row>
    <row r="2446" spans="1:28" s="4" customFormat="1" ht="42" customHeight="1">
      <c r="A2446" s="5">
        <v>0</v>
      </c>
      <c r="B2446" s="6" t="s">
        <v>13912</v>
      </c>
      <c r="C2446" s="13">
        <v>672</v>
      </c>
      <c r="D2446" s="8" t="s">
        <v>13913</v>
      </c>
      <c r="E2446" s="8" t="s">
        <v>13914</v>
      </c>
      <c r="F2446" s="8" t="s">
        <v>1891</v>
      </c>
      <c r="G2446" s="6" t="s">
        <v>81</v>
      </c>
      <c r="H2446" s="6" t="s">
        <v>39</v>
      </c>
      <c r="I2446" s="8" t="s">
        <v>1893</v>
      </c>
      <c r="J2446" s="9">
        <v>1</v>
      </c>
      <c r="K2446" s="9">
        <v>183</v>
      </c>
      <c r="L2446" s="9">
        <v>2025</v>
      </c>
      <c r="M2446" s="8" t="s">
        <v>13915</v>
      </c>
      <c r="N2446" s="8" t="s">
        <v>42</v>
      </c>
      <c r="O2446" s="8" t="s">
        <v>1315</v>
      </c>
      <c r="P2446" s="6" t="s">
        <v>2854</v>
      </c>
      <c r="Q2446" s="8" t="s">
        <v>287</v>
      </c>
      <c r="R2446" s="10" t="s">
        <v>2855</v>
      </c>
      <c r="S2446" s="11"/>
      <c r="T2446" s="6"/>
      <c r="U2446" s="24" t="str">
        <f>HYPERLINK("https://media.infra-m.ru/2213/2213440/cover/2213440.jpg", "Обложка")</f>
        <v>Обложка</v>
      </c>
      <c r="V2446" s="24" t="str">
        <f>HYPERLINK("https://znanium.ru/catalog/product/2160669", "Ознакомиться")</f>
        <v>Ознакомиться</v>
      </c>
      <c r="W2446" s="8"/>
      <c r="X2446" s="6"/>
      <c r="Y2446" s="6"/>
      <c r="Z2446" s="6"/>
      <c r="AA2446" s="6" t="s">
        <v>321</v>
      </c>
      <c r="AB2446" s="8"/>
    </row>
    <row r="2447" spans="1:28" s="4" customFormat="1" ht="42" customHeight="1">
      <c r="A2447" s="5">
        <v>0</v>
      </c>
      <c r="B2447" s="6" t="s">
        <v>13916</v>
      </c>
      <c r="C2447" s="13">
        <v>424.8</v>
      </c>
      <c r="D2447" s="8" t="s">
        <v>13917</v>
      </c>
      <c r="E2447" s="8" t="s">
        <v>13918</v>
      </c>
      <c r="F2447" s="8" t="s">
        <v>1891</v>
      </c>
      <c r="G2447" s="6" t="s">
        <v>81</v>
      </c>
      <c r="H2447" s="6" t="s">
        <v>39</v>
      </c>
      <c r="I2447" s="8" t="s">
        <v>1893</v>
      </c>
      <c r="J2447" s="9">
        <v>1</v>
      </c>
      <c r="K2447" s="9">
        <v>182</v>
      </c>
      <c r="L2447" s="9">
        <v>2023</v>
      </c>
      <c r="M2447" s="8" t="s">
        <v>13919</v>
      </c>
      <c r="N2447" s="8" t="s">
        <v>42</v>
      </c>
      <c r="O2447" s="8" t="s">
        <v>1315</v>
      </c>
      <c r="P2447" s="6" t="s">
        <v>2854</v>
      </c>
      <c r="Q2447" s="8" t="s">
        <v>287</v>
      </c>
      <c r="R2447" s="10" t="s">
        <v>2855</v>
      </c>
      <c r="S2447" s="11"/>
      <c r="T2447" s="6"/>
      <c r="U2447" s="24" t="str">
        <f>HYPERLINK("https://media.infra-m.ru/2139/2139433/cover/2139433.jpg", "Обложка")</f>
        <v>Обложка</v>
      </c>
      <c r="V2447" s="24" t="str">
        <f>HYPERLINK("https://znanium.ru/catalog/product/2160669", "Ознакомиться")</f>
        <v>Ознакомиться</v>
      </c>
      <c r="W2447" s="8"/>
      <c r="X2447" s="6"/>
      <c r="Y2447" s="6"/>
      <c r="Z2447" s="6"/>
      <c r="AA2447" s="6" t="s">
        <v>119</v>
      </c>
      <c r="AB2447" s="8"/>
    </row>
    <row r="2448" spans="1:28" s="4" customFormat="1" ht="51.95" customHeight="1">
      <c r="A2448" s="5">
        <v>0</v>
      </c>
      <c r="B2448" s="6" t="s">
        <v>13920</v>
      </c>
      <c r="C2448" s="13">
        <v>312</v>
      </c>
      <c r="D2448" s="8" t="s">
        <v>13921</v>
      </c>
      <c r="E2448" s="8" t="s">
        <v>13922</v>
      </c>
      <c r="F2448" s="8" t="s">
        <v>1891</v>
      </c>
      <c r="G2448" s="6" t="s">
        <v>1892</v>
      </c>
      <c r="H2448" s="6" t="s">
        <v>39</v>
      </c>
      <c r="I2448" s="8" t="s">
        <v>1893</v>
      </c>
      <c r="J2448" s="9">
        <v>1</v>
      </c>
      <c r="K2448" s="9">
        <v>40</v>
      </c>
      <c r="L2448" s="9">
        <v>2023</v>
      </c>
      <c r="M2448" s="8" t="s">
        <v>13923</v>
      </c>
      <c r="N2448" s="8" t="s">
        <v>284</v>
      </c>
      <c r="O2448" s="8" t="s">
        <v>328</v>
      </c>
      <c r="P2448" s="6" t="s">
        <v>2854</v>
      </c>
      <c r="Q2448" s="8" t="s">
        <v>45</v>
      </c>
      <c r="R2448" s="10" t="s">
        <v>13924</v>
      </c>
      <c r="S2448" s="11"/>
      <c r="T2448" s="6"/>
      <c r="U2448" s="24" t="str">
        <f>HYPERLINK("https://media.infra-m.ru/2043/2043244/cover/2043244.jpg", "Обложка")</f>
        <v>Обложка</v>
      </c>
      <c r="V2448" s="24" t="str">
        <f>HYPERLINK("https://znanium.ru/catalog/product/2043244", "Ознакомиться")</f>
        <v>Ознакомиться</v>
      </c>
      <c r="W2448" s="8"/>
      <c r="X2448" s="6"/>
      <c r="Y2448" s="6"/>
      <c r="Z2448" s="6"/>
      <c r="AA2448" s="6" t="s">
        <v>199</v>
      </c>
      <c r="AB2448" s="8"/>
    </row>
    <row r="2449" spans="1:28" s="4" customFormat="1" ht="42" customHeight="1">
      <c r="A2449" s="5">
        <v>0</v>
      </c>
      <c r="B2449" s="6" t="s">
        <v>13925</v>
      </c>
      <c r="C2449" s="7">
        <v>1697.9</v>
      </c>
      <c r="D2449" s="8" t="s">
        <v>13926</v>
      </c>
      <c r="E2449" s="8" t="s">
        <v>13927</v>
      </c>
      <c r="F2449" s="8" t="s">
        <v>13928</v>
      </c>
      <c r="G2449" s="6" t="s">
        <v>132</v>
      </c>
      <c r="H2449" s="6" t="s">
        <v>39</v>
      </c>
      <c r="I2449" s="8" t="s">
        <v>40</v>
      </c>
      <c r="J2449" s="9">
        <v>1</v>
      </c>
      <c r="K2449" s="9">
        <v>404</v>
      </c>
      <c r="L2449" s="9">
        <v>2020</v>
      </c>
      <c r="M2449" s="8" t="s">
        <v>13929</v>
      </c>
      <c r="N2449" s="8" t="s">
        <v>284</v>
      </c>
      <c r="O2449" s="8" t="s">
        <v>285</v>
      </c>
      <c r="P2449" s="6" t="s">
        <v>44</v>
      </c>
      <c r="Q2449" s="8" t="s">
        <v>45</v>
      </c>
      <c r="R2449" s="10" t="s">
        <v>2837</v>
      </c>
      <c r="S2449" s="11"/>
      <c r="T2449" s="6"/>
      <c r="U2449" s="24" t="str">
        <f>HYPERLINK("https://media.infra-m.ru/1044/1044575/cover/1044575.jpg", "Обложка")</f>
        <v>Обложка</v>
      </c>
      <c r="V2449" s="24" t="str">
        <f>HYPERLINK("https://znanium.ru/catalog/product/1157233", "Ознакомиться")</f>
        <v>Ознакомиться</v>
      </c>
      <c r="W2449" s="8" t="s">
        <v>13930</v>
      </c>
      <c r="X2449" s="6"/>
      <c r="Y2449" s="6"/>
      <c r="Z2449" s="6"/>
      <c r="AA2449" s="6" t="s">
        <v>177</v>
      </c>
      <c r="AB2449" s="8"/>
    </row>
    <row r="2450" spans="1:28" s="4" customFormat="1" ht="42" customHeight="1">
      <c r="A2450" s="5">
        <v>0</v>
      </c>
      <c r="B2450" s="6" t="s">
        <v>13931</v>
      </c>
      <c r="C2450" s="7">
        <v>2188.8000000000002</v>
      </c>
      <c r="D2450" s="8" t="s">
        <v>13932</v>
      </c>
      <c r="E2450" s="8" t="s">
        <v>13933</v>
      </c>
      <c r="F2450" s="8" t="s">
        <v>13928</v>
      </c>
      <c r="G2450" s="6" t="s">
        <v>81</v>
      </c>
      <c r="H2450" s="6" t="s">
        <v>39</v>
      </c>
      <c r="I2450" s="8" t="s">
        <v>40</v>
      </c>
      <c r="J2450" s="9">
        <v>1</v>
      </c>
      <c r="K2450" s="9">
        <v>404</v>
      </c>
      <c r="L2450" s="9">
        <v>2023</v>
      </c>
      <c r="M2450" s="8" t="s">
        <v>13929</v>
      </c>
      <c r="N2450" s="8" t="s">
        <v>284</v>
      </c>
      <c r="O2450" s="8" t="s">
        <v>285</v>
      </c>
      <c r="P2450" s="6" t="s">
        <v>44</v>
      </c>
      <c r="Q2450" s="8" t="s">
        <v>45</v>
      </c>
      <c r="R2450" s="10" t="s">
        <v>2837</v>
      </c>
      <c r="S2450" s="11"/>
      <c r="T2450" s="6"/>
      <c r="U2450" s="24" t="str">
        <f>HYPERLINK("https://media.infra-m.ru/2006/2006927/cover/2006927.jpg", "Обложка")</f>
        <v>Обложка</v>
      </c>
      <c r="V2450" s="24" t="str">
        <f>HYPERLINK("https://znanium.ru/catalog/product/1157233", "Ознакомиться")</f>
        <v>Ознакомиться</v>
      </c>
      <c r="W2450" s="8" t="s">
        <v>13930</v>
      </c>
      <c r="X2450" s="6"/>
      <c r="Y2450" s="6"/>
      <c r="Z2450" s="6"/>
      <c r="AA2450" s="6" t="s">
        <v>68</v>
      </c>
      <c r="AB2450" s="8"/>
    </row>
    <row r="2451" spans="1:28" s="4" customFormat="1" ht="51.95" customHeight="1">
      <c r="A2451" s="5">
        <v>0</v>
      </c>
      <c r="B2451" s="6" t="s">
        <v>13934</v>
      </c>
      <c r="C2451" s="7">
        <v>1044</v>
      </c>
      <c r="D2451" s="8" t="s">
        <v>13935</v>
      </c>
      <c r="E2451" s="8" t="s">
        <v>13936</v>
      </c>
      <c r="F2451" s="8" t="s">
        <v>5721</v>
      </c>
      <c r="G2451" s="6" t="s">
        <v>132</v>
      </c>
      <c r="H2451" s="6" t="s">
        <v>99</v>
      </c>
      <c r="I2451" s="8"/>
      <c r="J2451" s="9">
        <v>1</v>
      </c>
      <c r="K2451" s="9">
        <v>160</v>
      </c>
      <c r="L2451" s="9">
        <v>2025</v>
      </c>
      <c r="M2451" s="8" t="s">
        <v>13937</v>
      </c>
      <c r="N2451" s="8" t="s">
        <v>42</v>
      </c>
      <c r="O2451" s="8" t="s">
        <v>101</v>
      </c>
      <c r="P2451" s="6" t="s">
        <v>44</v>
      </c>
      <c r="Q2451" s="8" t="s">
        <v>45</v>
      </c>
      <c r="R2451" s="10" t="s">
        <v>10686</v>
      </c>
      <c r="S2451" s="11"/>
      <c r="T2451" s="6"/>
      <c r="U2451" s="24" t="str">
        <f>HYPERLINK("https://media.infra-m.ru/2211/2211267/cover/2211267.jpg", "Обложка")</f>
        <v>Обложка</v>
      </c>
      <c r="V2451" s="24" t="str">
        <f>HYPERLINK("https://znanium.ru/catalog/product/2211267", "Ознакомиться")</f>
        <v>Ознакомиться</v>
      </c>
      <c r="W2451" s="8" t="s">
        <v>516</v>
      </c>
      <c r="X2451" s="6" t="s">
        <v>450</v>
      </c>
      <c r="Y2451" s="6"/>
      <c r="Z2451" s="6"/>
      <c r="AA2451" s="6" t="s">
        <v>159</v>
      </c>
      <c r="AB2451" s="8"/>
    </row>
    <row r="2452" spans="1:28" s="4" customFormat="1" ht="51.95" customHeight="1">
      <c r="A2452" s="5">
        <v>0</v>
      </c>
      <c r="B2452" s="6" t="s">
        <v>13938</v>
      </c>
      <c r="C2452" s="7">
        <v>1584</v>
      </c>
      <c r="D2452" s="8" t="s">
        <v>13939</v>
      </c>
      <c r="E2452" s="8" t="s">
        <v>13940</v>
      </c>
      <c r="F2452" s="8" t="s">
        <v>13941</v>
      </c>
      <c r="G2452" s="6" t="s">
        <v>132</v>
      </c>
      <c r="H2452" s="6" t="s">
        <v>39</v>
      </c>
      <c r="I2452" s="8" t="s">
        <v>40</v>
      </c>
      <c r="J2452" s="9">
        <v>1</v>
      </c>
      <c r="K2452" s="9">
        <v>242</v>
      </c>
      <c r="L2452" s="9">
        <v>2025</v>
      </c>
      <c r="M2452" s="8" t="s">
        <v>13942</v>
      </c>
      <c r="N2452" s="8" t="s">
        <v>229</v>
      </c>
      <c r="O2452" s="8" t="s">
        <v>230</v>
      </c>
      <c r="P2452" s="6" t="s">
        <v>44</v>
      </c>
      <c r="Q2452" s="8" t="s">
        <v>45</v>
      </c>
      <c r="R2452" s="10" t="s">
        <v>13943</v>
      </c>
      <c r="S2452" s="11"/>
      <c r="T2452" s="6"/>
      <c r="U2452" s="24" t="str">
        <f>HYPERLINK("https://media.infra-m.ru/2129/2129775/cover/2129775.jpg", "Обложка")</f>
        <v>Обложка</v>
      </c>
      <c r="V2452" s="24" t="str">
        <f>HYPERLINK("https://znanium.ru/catalog/product/2129775", "Ознакомиться")</f>
        <v>Ознакомиться</v>
      </c>
      <c r="W2452" s="8" t="s">
        <v>516</v>
      </c>
      <c r="X2452" s="6"/>
      <c r="Y2452" s="6"/>
      <c r="Z2452" s="6"/>
      <c r="AA2452" s="6" t="s">
        <v>159</v>
      </c>
      <c r="AB2452" s="8"/>
    </row>
    <row r="2453" spans="1:28" s="4" customFormat="1" ht="44.1" customHeight="1">
      <c r="A2453" s="5">
        <v>0</v>
      </c>
      <c r="B2453" s="6" t="s">
        <v>13944</v>
      </c>
      <c r="C2453" s="7">
        <v>1944</v>
      </c>
      <c r="D2453" s="8" t="s">
        <v>13945</v>
      </c>
      <c r="E2453" s="8" t="s">
        <v>13946</v>
      </c>
      <c r="F2453" s="8" t="s">
        <v>13947</v>
      </c>
      <c r="G2453" s="6" t="s">
        <v>132</v>
      </c>
      <c r="H2453" s="6" t="s">
        <v>39</v>
      </c>
      <c r="I2453" s="8" t="s">
        <v>40</v>
      </c>
      <c r="J2453" s="9">
        <v>1</v>
      </c>
      <c r="K2453" s="9">
        <v>303</v>
      </c>
      <c r="L2453" s="9">
        <v>2025</v>
      </c>
      <c r="M2453" s="8" t="s">
        <v>13948</v>
      </c>
      <c r="N2453" s="8" t="s">
        <v>42</v>
      </c>
      <c r="O2453" s="8" t="s">
        <v>246</v>
      </c>
      <c r="P2453" s="6" t="s">
        <v>44</v>
      </c>
      <c r="Q2453" s="8" t="s">
        <v>45</v>
      </c>
      <c r="R2453" s="10" t="s">
        <v>13949</v>
      </c>
      <c r="S2453" s="11"/>
      <c r="T2453" s="6"/>
      <c r="U2453" s="24" t="str">
        <f>HYPERLINK("https://media.infra-m.ru/2133/2133677/cover/2133677.jpg", "Обложка")</f>
        <v>Обложка</v>
      </c>
      <c r="V2453" s="24" t="str">
        <f>HYPERLINK("https://znanium.ru/catalog/product/2133677", "Ознакомиться")</f>
        <v>Ознакомиться</v>
      </c>
      <c r="W2453" s="8" t="s">
        <v>6418</v>
      </c>
      <c r="X2453" s="6"/>
      <c r="Y2453" s="6"/>
      <c r="Z2453" s="6"/>
      <c r="AA2453" s="6" t="s">
        <v>159</v>
      </c>
      <c r="AB2453" s="8"/>
    </row>
    <row r="2454" spans="1:28" s="4" customFormat="1" ht="42" customHeight="1">
      <c r="A2454" s="5">
        <v>0</v>
      </c>
      <c r="B2454" s="6" t="s">
        <v>13950</v>
      </c>
      <c r="C2454" s="7">
        <v>1116</v>
      </c>
      <c r="D2454" s="8" t="s">
        <v>13951</v>
      </c>
      <c r="E2454" s="8" t="s">
        <v>13952</v>
      </c>
      <c r="F2454" s="8" t="s">
        <v>13953</v>
      </c>
      <c r="G2454" s="6" t="s">
        <v>38</v>
      </c>
      <c r="H2454" s="6" t="s">
        <v>39</v>
      </c>
      <c r="I2454" s="8" t="s">
        <v>40</v>
      </c>
      <c r="J2454" s="9">
        <v>1</v>
      </c>
      <c r="K2454" s="9">
        <v>201</v>
      </c>
      <c r="L2454" s="9">
        <v>2023</v>
      </c>
      <c r="M2454" s="8" t="s">
        <v>13954</v>
      </c>
      <c r="N2454" s="8" t="s">
        <v>42</v>
      </c>
      <c r="O2454" s="8" t="s">
        <v>189</v>
      </c>
      <c r="P2454" s="6" t="s">
        <v>44</v>
      </c>
      <c r="Q2454" s="8" t="s">
        <v>45</v>
      </c>
      <c r="R2454" s="10" t="s">
        <v>2503</v>
      </c>
      <c r="S2454" s="11"/>
      <c r="T2454" s="6"/>
      <c r="U2454" s="24" t="str">
        <f>HYPERLINK("https://media.infra-m.ru/1959/1959270/cover/1959270.jpg", "Обложка")</f>
        <v>Обложка</v>
      </c>
      <c r="V2454" s="24" t="str">
        <f>HYPERLINK("https://znanium.ru/catalog/product/1959270", "Ознакомиться")</f>
        <v>Ознакомиться</v>
      </c>
      <c r="W2454" s="8" t="s">
        <v>9917</v>
      </c>
      <c r="X2454" s="6"/>
      <c r="Y2454" s="6"/>
      <c r="Z2454" s="6"/>
      <c r="AA2454" s="6" t="s">
        <v>199</v>
      </c>
      <c r="AB2454" s="8"/>
    </row>
    <row r="2455" spans="1:28" s="4" customFormat="1" ht="51.95" customHeight="1">
      <c r="A2455" s="5">
        <v>0</v>
      </c>
      <c r="B2455" s="6" t="s">
        <v>13955</v>
      </c>
      <c r="C2455" s="7">
        <v>1320</v>
      </c>
      <c r="D2455" s="8" t="s">
        <v>13956</v>
      </c>
      <c r="E2455" s="8" t="s">
        <v>13957</v>
      </c>
      <c r="F2455" s="8" t="s">
        <v>13958</v>
      </c>
      <c r="G2455" s="6" t="s">
        <v>132</v>
      </c>
      <c r="H2455" s="6" t="s">
        <v>39</v>
      </c>
      <c r="I2455" s="8" t="s">
        <v>40</v>
      </c>
      <c r="J2455" s="9">
        <v>1</v>
      </c>
      <c r="K2455" s="9">
        <v>200</v>
      </c>
      <c r="L2455" s="9">
        <v>2025</v>
      </c>
      <c r="M2455" s="8" t="s">
        <v>13959</v>
      </c>
      <c r="N2455" s="8" t="s">
        <v>42</v>
      </c>
      <c r="O2455" s="8" t="s">
        <v>189</v>
      </c>
      <c r="P2455" s="6" t="s">
        <v>44</v>
      </c>
      <c r="Q2455" s="8" t="s">
        <v>45</v>
      </c>
      <c r="R2455" s="10" t="s">
        <v>13960</v>
      </c>
      <c r="S2455" s="11"/>
      <c r="T2455" s="6"/>
      <c r="U2455" s="24" t="str">
        <f>HYPERLINK("https://media.infra-m.ru/2180/2180633/cover/2180633.jpg", "Обложка")</f>
        <v>Обложка</v>
      </c>
      <c r="V2455" s="24" t="str">
        <f>HYPERLINK("https://znanium.ru/catalog/product/2180633", "Ознакомиться")</f>
        <v>Ознакомиться</v>
      </c>
      <c r="W2455" s="8" t="s">
        <v>361</v>
      </c>
      <c r="X2455" s="6" t="s">
        <v>306</v>
      </c>
      <c r="Y2455" s="6"/>
      <c r="Z2455" s="6"/>
      <c r="AA2455" s="6" t="s">
        <v>159</v>
      </c>
      <c r="AB2455" s="8"/>
    </row>
    <row r="2456" spans="1:28" s="4" customFormat="1" ht="51.95" customHeight="1">
      <c r="A2456" s="5">
        <v>0</v>
      </c>
      <c r="B2456" s="6" t="s">
        <v>13961</v>
      </c>
      <c r="C2456" s="7">
        <v>2234.4</v>
      </c>
      <c r="D2456" s="8" t="s">
        <v>13962</v>
      </c>
      <c r="E2456" s="8" t="s">
        <v>13963</v>
      </c>
      <c r="F2456" s="8" t="s">
        <v>13964</v>
      </c>
      <c r="G2456" s="6" t="s">
        <v>38</v>
      </c>
      <c r="H2456" s="6" t="s">
        <v>39</v>
      </c>
      <c r="I2456" s="8" t="s">
        <v>40</v>
      </c>
      <c r="J2456" s="9">
        <v>1</v>
      </c>
      <c r="K2456" s="9">
        <v>271</v>
      </c>
      <c r="L2456" s="9">
        <v>2026</v>
      </c>
      <c r="M2456" s="8" t="s">
        <v>13965</v>
      </c>
      <c r="N2456" s="8" t="s">
        <v>220</v>
      </c>
      <c r="O2456" s="8" t="s">
        <v>252</v>
      </c>
      <c r="P2456" s="6" t="s">
        <v>44</v>
      </c>
      <c r="Q2456" s="8" t="s">
        <v>45</v>
      </c>
      <c r="R2456" s="10" t="s">
        <v>13966</v>
      </c>
      <c r="S2456" s="11"/>
      <c r="T2456" s="6"/>
      <c r="U2456" s="24" t="str">
        <f>HYPERLINK("https://media.infra-m.ru/2211/2211139/cover/2211139.jpg", "Обложка")</f>
        <v>Обложка</v>
      </c>
      <c r="V2456" s="24" t="str">
        <f>HYPERLINK("https://znanium.ru/catalog/product/2211139", "Ознакомиться")</f>
        <v>Ознакомиться</v>
      </c>
      <c r="W2456" s="8" t="s">
        <v>314</v>
      </c>
      <c r="X2456" s="6" t="s">
        <v>158</v>
      </c>
      <c r="Y2456" s="6"/>
      <c r="Z2456" s="6"/>
      <c r="AA2456" s="6" t="s">
        <v>833</v>
      </c>
      <c r="AB2456" s="8"/>
    </row>
    <row r="2457" spans="1:28" s="4" customFormat="1" ht="51.95" customHeight="1">
      <c r="A2457" s="5">
        <v>0</v>
      </c>
      <c r="B2457" s="6" t="s">
        <v>13967</v>
      </c>
      <c r="C2457" s="7">
        <v>1104</v>
      </c>
      <c r="D2457" s="8" t="s">
        <v>13968</v>
      </c>
      <c r="E2457" s="8" t="s">
        <v>13969</v>
      </c>
      <c r="F2457" s="8" t="s">
        <v>8757</v>
      </c>
      <c r="G2457" s="6" t="s">
        <v>38</v>
      </c>
      <c r="H2457" s="6" t="s">
        <v>39</v>
      </c>
      <c r="I2457" s="8" t="s">
        <v>40</v>
      </c>
      <c r="J2457" s="9">
        <v>1</v>
      </c>
      <c r="K2457" s="9">
        <v>171</v>
      </c>
      <c r="L2457" s="9">
        <v>2025</v>
      </c>
      <c r="M2457" s="8" t="s">
        <v>13970</v>
      </c>
      <c r="N2457" s="8" t="s">
        <v>42</v>
      </c>
      <c r="O2457" s="8" t="s">
        <v>189</v>
      </c>
      <c r="P2457" s="6" t="s">
        <v>44</v>
      </c>
      <c r="Q2457" s="8" t="s">
        <v>45</v>
      </c>
      <c r="R2457" s="10" t="s">
        <v>13971</v>
      </c>
      <c r="S2457" s="11"/>
      <c r="T2457" s="6"/>
      <c r="U2457" s="24" t="str">
        <f>HYPERLINK("https://media.infra-m.ru/2162/2162081/cover/2162081.jpg", "Обложка")</f>
        <v>Обложка</v>
      </c>
      <c r="V2457" s="24" t="str">
        <f>HYPERLINK("https://znanium.ru/catalog/product/2162081", "Ознакомиться")</f>
        <v>Ознакомиться</v>
      </c>
      <c r="W2457" s="8" t="s">
        <v>4953</v>
      </c>
      <c r="X2457" s="6" t="s">
        <v>1188</v>
      </c>
      <c r="Y2457" s="6"/>
      <c r="Z2457" s="6"/>
      <c r="AA2457" s="6" t="s">
        <v>58</v>
      </c>
      <c r="AB2457" s="8"/>
    </row>
    <row r="2458" spans="1:28" s="4" customFormat="1" ht="42" customHeight="1">
      <c r="A2458" s="5">
        <v>0</v>
      </c>
      <c r="B2458" s="6" t="s">
        <v>13972</v>
      </c>
      <c r="C2458" s="7">
        <v>1020</v>
      </c>
      <c r="D2458" s="8" t="s">
        <v>13973</v>
      </c>
      <c r="E2458" s="8" t="s">
        <v>13974</v>
      </c>
      <c r="F2458" s="8" t="s">
        <v>13975</v>
      </c>
      <c r="G2458" s="6" t="s">
        <v>38</v>
      </c>
      <c r="H2458" s="6" t="s">
        <v>39</v>
      </c>
      <c r="I2458" s="8" t="s">
        <v>40</v>
      </c>
      <c r="J2458" s="9">
        <v>1</v>
      </c>
      <c r="K2458" s="9">
        <v>141</v>
      </c>
      <c r="L2458" s="9">
        <v>2025</v>
      </c>
      <c r="M2458" s="8" t="s">
        <v>13976</v>
      </c>
      <c r="N2458" s="8" t="s">
        <v>284</v>
      </c>
      <c r="O2458" s="8" t="s">
        <v>2265</v>
      </c>
      <c r="P2458" s="6" t="s">
        <v>44</v>
      </c>
      <c r="Q2458" s="8" t="s">
        <v>45</v>
      </c>
      <c r="R2458" s="10" t="s">
        <v>13977</v>
      </c>
      <c r="S2458" s="11"/>
      <c r="T2458" s="6"/>
      <c r="U2458" s="24" t="str">
        <f>HYPERLINK("https://media.infra-m.ru/2155/2155924/cover/2155924.jpg", "Обложка")</f>
        <v>Обложка</v>
      </c>
      <c r="V2458" s="24" t="str">
        <f>HYPERLINK("https://znanium.ru/catalog/product/2155924", "Ознакомиться")</f>
        <v>Ознакомиться</v>
      </c>
      <c r="W2458" s="8" t="s">
        <v>10734</v>
      </c>
      <c r="X2458" s="6" t="s">
        <v>1188</v>
      </c>
      <c r="Y2458" s="6"/>
      <c r="Z2458" s="6"/>
      <c r="AA2458" s="6" t="s">
        <v>58</v>
      </c>
      <c r="AB2458" s="8"/>
    </row>
    <row r="2459" spans="1:28" s="4" customFormat="1" ht="44.1" customHeight="1">
      <c r="A2459" s="5">
        <v>0</v>
      </c>
      <c r="B2459" s="6" t="s">
        <v>13978</v>
      </c>
      <c r="C2459" s="7">
        <v>1104</v>
      </c>
      <c r="D2459" s="8" t="s">
        <v>13979</v>
      </c>
      <c r="E2459" s="8" t="s">
        <v>13980</v>
      </c>
      <c r="F2459" s="8" t="s">
        <v>13981</v>
      </c>
      <c r="G2459" s="6" t="s">
        <v>38</v>
      </c>
      <c r="H2459" s="6" t="s">
        <v>39</v>
      </c>
      <c r="I2459" s="8" t="s">
        <v>40</v>
      </c>
      <c r="J2459" s="9">
        <v>1</v>
      </c>
      <c r="K2459" s="9">
        <v>183</v>
      </c>
      <c r="L2459" s="9">
        <v>2025</v>
      </c>
      <c r="M2459" s="8" t="s">
        <v>13982</v>
      </c>
      <c r="N2459" s="8" t="s">
        <v>229</v>
      </c>
      <c r="O2459" s="8" t="s">
        <v>230</v>
      </c>
      <c r="P2459" s="6" t="s">
        <v>44</v>
      </c>
      <c r="Q2459" s="8" t="s">
        <v>45</v>
      </c>
      <c r="R2459" s="10" t="s">
        <v>7513</v>
      </c>
      <c r="S2459" s="11"/>
      <c r="T2459" s="6"/>
      <c r="U2459" s="24" t="str">
        <f>HYPERLINK("https://media.infra-m.ru/2178/2178248/cover/2178248.jpg", "Обложка")</f>
        <v>Обложка</v>
      </c>
      <c r="V2459" s="24" t="str">
        <f>HYPERLINK("https://znanium.ru/catalog/product/2178248", "Ознакомиться")</f>
        <v>Ознакомиться</v>
      </c>
      <c r="W2459" s="8" t="s">
        <v>8058</v>
      </c>
      <c r="X2459" s="6"/>
      <c r="Y2459" s="6"/>
      <c r="Z2459" s="6"/>
      <c r="AA2459" s="6" t="s">
        <v>58</v>
      </c>
      <c r="AB2459" s="8"/>
    </row>
    <row r="2460" spans="1:28" s="4" customFormat="1" ht="44.1" customHeight="1">
      <c r="A2460" s="5">
        <v>0</v>
      </c>
      <c r="B2460" s="6" t="s">
        <v>13983</v>
      </c>
      <c r="C2460" s="13">
        <v>700.8</v>
      </c>
      <c r="D2460" s="8" t="s">
        <v>13984</v>
      </c>
      <c r="E2460" s="8" t="s">
        <v>13985</v>
      </c>
      <c r="F2460" s="8" t="s">
        <v>13986</v>
      </c>
      <c r="G2460" s="6" t="s">
        <v>38</v>
      </c>
      <c r="H2460" s="6" t="s">
        <v>39</v>
      </c>
      <c r="I2460" s="8" t="s">
        <v>344</v>
      </c>
      <c r="J2460" s="9">
        <v>1</v>
      </c>
      <c r="K2460" s="9">
        <v>112</v>
      </c>
      <c r="L2460" s="9">
        <v>2025</v>
      </c>
      <c r="M2460" s="8" t="s">
        <v>13987</v>
      </c>
      <c r="N2460" s="8" t="s">
        <v>738</v>
      </c>
      <c r="O2460" s="8" t="s">
        <v>739</v>
      </c>
      <c r="P2460" s="6" t="s">
        <v>44</v>
      </c>
      <c r="Q2460" s="8" t="s">
        <v>45</v>
      </c>
      <c r="R2460" s="10" t="s">
        <v>13988</v>
      </c>
      <c r="S2460" s="11"/>
      <c r="T2460" s="6"/>
      <c r="U2460" s="24" t="str">
        <f>HYPERLINK("https://media.infra-m.ru/2163/2163038/cover/2163038.jpg", "Обложка")</f>
        <v>Обложка</v>
      </c>
      <c r="V2460" s="24" t="str">
        <f>HYPERLINK("https://znanium.ru/catalog/product/2110063", "Ознакомиться")</f>
        <v>Ознакомиться</v>
      </c>
      <c r="W2460" s="8" t="s">
        <v>346</v>
      </c>
      <c r="X2460" s="6"/>
      <c r="Y2460" s="6"/>
      <c r="Z2460" s="6"/>
      <c r="AA2460" s="6" t="s">
        <v>127</v>
      </c>
      <c r="AB2460" s="8"/>
    </row>
    <row r="2461" spans="1:28" s="4" customFormat="1" ht="44.1" customHeight="1">
      <c r="A2461" s="5">
        <v>0</v>
      </c>
      <c r="B2461" s="6" t="s">
        <v>13989</v>
      </c>
      <c r="C2461" s="13">
        <v>960</v>
      </c>
      <c r="D2461" s="8" t="s">
        <v>13990</v>
      </c>
      <c r="E2461" s="8" t="s">
        <v>13991</v>
      </c>
      <c r="F2461" s="8" t="s">
        <v>13992</v>
      </c>
      <c r="G2461" s="6" t="s">
        <v>38</v>
      </c>
      <c r="H2461" s="6" t="s">
        <v>99</v>
      </c>
      <c r="I2461" s="8"/>
      <c r="J2461" s="9">
        <v>1</v>
      </c>
      <c r="K2461" s="9">
        <v>160</v>
      </c>
      <c r="L2461" s="9">
        <v>2025</v>
      </c>
      <c r="M2461" s="8" t="s">
        <v>13993</v>
      </c>
      <c r="N2461" s="8" t="s">
        <v>42</v>
      </c>
      <c r="O2461" s="8" t="s">
        <v>101</v>
      </c>
      <c r="P2461" s="6" t="s">
        <v>44</v>
      </c>
      <c r="Q2461" s="8" t="s">
        <v>1152</v>
      </c>
      <c r="R2461" s="10" t="s">
        <v>874</v>
      </c>
      <c r="S2461" s="11"/>
      <c r="T2461" s="6"/>
      <c r="U2461" s="24" t="str">
        <f>HYPERLINK("https://media.infra-m.ru/2170/2170037/cover/2170037.jpg", "Обложка")</f>
        <v>Обложка</v>
      </c>
      <c r="V2461" s="24" t="str">
        <f>HYPERLINK("https://znanium.ru/catalog/product/2170037", "Ознакомиться")</f>
        <v>Ознакомиться</v>
      </c>
      <c r="W2461" s="8" t="s">
        <v>361</v>
      </c>
      <c r="X2461" s="6"/>
      <c r="Y2461" s="6"/>
      <c r="Z2461" s="6"/>
      <c r="AA2461" s="6" t="s">
        <v>290</v>
      </c>
      <c r="AB2461" s="8"/>
    </row>
    <row r="2462" spans="1:28" s="4" customFormat="1" ht="42" customHeight="1">
      <c r="A2462" s="5">
        <v>0</v>
      </c>
      <c r="B2462" s="6" t="s">
        <v>13994</v>
      </c>
      <c r="C2462" s="7">
        <v>2064</v>
      </c>
      <c r="D2462" s="8" t="s">
        <v>13995</v>
      </c>
      <c r="E2462" s="8" t="s">
        <v>13996</v>
      </c>
      <c r="F2462" s="8" t="s">
        <v>2123</v>
      </c>
      <c r="G2462" s="6" t="s">
        <v>132</v>
      </c>
      <c r="H2462" s="6" t="s">
        <v>39</v>
      </c>
      <c r="I2462" s="8" t="s">
        <v>40</v>
      </c>
      <c r="J2462" s="9">
        <v>1</v>
      </c>
      <c r="K2462" s="9">
        <v>308</v>
      </c>
      <c r="L2462" s="9">
        <v>2025</v>
      </c>
      <c r="M2462" s="8" t="s">
        <v>13997</v>
      </c>
      <c r="N2462" s="8" t="s">
        <v>42</v>
      </c>
      <c r="O2462" s="8" t="s">
        <v>101</v>
      </c>
      <c r="P2462" s="6" t="s">
        <v>44</v>
      </c>
      <c r="Q2462" s="8" t="s">
        <v>45</v>
      </c>
      <c r="R2462" s="10" t="s">
        <v>269</v>
      </c>
      <c r="S2462" s="11"/>
      <c r="T2462" s="6"/>
      <c r="U2462" s="24" t="str">
        <f>HYPERLINK("https://media.infra-m.ru/2187/2187526/cover/2187526.jpg", "Обложка")</f>
        <v>Обложка</v>
      </c>
      <c r="V2462" s="24" t="str">
        <f>HYPERLINK("https://znanium.ru/catalog/product/2187526", "Ознакомиться")</f>
        <v>Ознакомиться</v>
      </c>
      <c r="W2462" s="8" t="s">
        <v>937</v>
      </c>
      <c r="X2462" s="6" t="s">
        <v>838</v>
      </c>
      <c r="Y2462" s="6"/>
      <c r="Z2462" s="6"/>
      <c r="AA2462" s="6" t="s">
        <v>159</v>
      </c>
      <c r="AB2462" s="8"/>
    </row>
    <row r="2463" spans="1:28" s="4" customFormat="1" ht="42" customHeight="1">
      <c r="A2463" s="5">
        <v>0</v>
      </c>
      <c r="B2463" s="6" t="s">
        <v>13998</v>
      </c>
      <c r="C2463" s="7">
        <v>2574</v>
      </c>
      <c r="D2463" s="8" t="s">
        <v>13999</v>
      </c>
      <c r="E2463" s="8" t="s">
        <v>14000</v>
      </c>
      <c r="F2463" s="8" t="s">
        <v>1891</v>
      </c>
      <c r="G2463" s="6" t="s">
        <v>132</v>
      </c>
      <c r="H2463" s="6" t="s">
        <v>99</v>
      </c>
      <c r="I2463" s="8"/>
      <c r="J2463" s="9">
        <v>1</v>
      </c>
      <c r="K2463" s="9">
        <v>224</v>
      </c>
      <c r="L2463" s="9">
        <v>2022</v>
      </c>
      <c r="M2463" s="8" t="s">
        <v>14001</v>
      </c>
      <c r="N2463" s="8" t="s">
        <v>42</v>
      </c>
      <c r="O2463" s="8" t="s">
        <v>101</v>
      </c>
      <c r="P2463" s="6" t="s">
        <v>44</v>
      </c>
      <c r="Q2463" s="8" t="s">
        <v>45</v>
      </c>
      <c r="R2463" s="10" t="s">
        <v>7484</v>
      </c>
      <c r="S2463" s="11"/>
      <c r="T2463" s="6"/>
      <c r="U2463" s="24" t="str">
        <f>HYPERLINK("https://media.infra-m.ru/1911/1911596/cover/1911596.jpg", "Обложка")</f>
        <v>Обложка</v>
      </c>
      <c r="V2463" s="12"/>
      <c r="W2463" s="8"/>
      <c r="X2463" s="6"/>
      <c r="Y2463" s="6"/>
      <c r="Z2463" s="6"/>
      <c r="AA2463" s="6" t="s">
        <v>111</v>
      </c>
      <c r="AB2463" s="8"/>
    </row>
    <row r="2464" spans="1:28" s="4" customFormat="1" ht="42" customHeight="1">
      <c r="A2464" s="5">
        <v>0</v>
      </c>
      <c r="B2464" s="6" t="s">
        <v>14002</v>
      </c>
      <c r="C2464" s="13">
        <v>641.9</v>
      </c>
      <c r="D2464" s="8" t="s">
        <v>14003</v>
      </c>
      <c r="E2464" s="8" t="s">
        <v>14004</v>
      </c>
      <c r="F2464" s="8" t="s">
        <v>14005</v>
      </c>
      <c r="G2464" s="6" t="s">
        <v>38</v>
      </c>
      <c r="H2464" s="6" t="s">
        <v>39</v>
      </c>
      <c r="I2464" s="8" t="s">
        <v>40</v>
      </c>
      <c r="J2464" s="9">
        <v>1</v>
      </c>
      <c r="K2464" s="9">
        <v>136</v>
      </c>
      <c r="L2464" s="9">
        <v>2022</v>
      </c>
      <c r="M2464" s="8" t="s">
        <v>14006</v>
      </c>
      <c r="N2464" s="8" t="s">
        <v>42</v>
      </c>
      <c r="O2464" s="8" t="s">
        <v>189</v>
      </c>
      <c r="P2464" s="6" t="s">
        <v>44</v>
      </c>
      <c r="Q2464" s="8" t="s">
        <v>45</v>
      </c>
      <c r="R2464" s="10" t="s">
        <v>14007</v>
      </c>
      <c r="S2464" s="11"/>
      <c r="T2464" s="6"/>
      <c r="U2464" s="24" t="str">
        <f>HYPERLINK("https://media.infra-m.ru/1853/1853537/cover/1853537.jpg", "Обложка")</f>
        <v>Обложка</v>
      </c>
      <c r="V2464" s="24" t="str">
        <f>HYPERLINK("https://znanium.ru/catalog/product/1009724", "Ознакомиться")</f>
        <v>Ознакомиться</v>
      </c>
      <c r="W2464" s="8" t="s">
        <v>10799</v>
      </c>
      <c r="X2464" s="6"/>
      <c r="Y2464" s="6"/>
      <c r="Z2464" s="6"/>
      <c r="AA2464" s="6" t="s">
        <v>377</v>
      </c>
      <c r="AB2464" s="8"/>
    </row>
    <row r="2465" spans="1:28" s="4" customFormat="1" ht="42" customHeight="1">
      <c r="A2465" s="5">
        <v>0</v>
      </c>
      <c r="B2465" s="6" t="s">
        <v>14008</v>
      </c>
      <c r="C2465" s="7">
        <v>1044</v>
      </c>
      <c r="D2465" s="8" t="s">
        <v>14009</v>
      </c>
      <c r="E2465" s="8" t="s">
        <v>14010</v>
      </c>
      <c r="F2465" s="8" t="s">
        <v>14011</v>
      </c>
      <c r="G2465" s="6" t="s">
        <v>38</v>
      </c>
      <c r="H2465" s="6" t="s">
        <v>39</v>
      </c>
      <c r="I2465" s="8" t="s">
        <v>1879</v>
      </c>
      <c r="J2465" s="9">
        <v>1</v>
      </c>
      <c r="K2465" s="9">
        <v>189</v>
      </c>
      <c r="L2465" s="9">
        <v>2024</v>
      </c>
      <c r="M2465" s="8" t="s">
        <v>14012</v>
      </c>
      <c r="N2465" s="8" t="s">
        <v>220</v>
      </c>
      <c r="O2465" s="8" t="s">
        <v>296</v>
      </c>
      <c r="P2465" s="6" t="s">
        <v>44</v>
      </c>
      <c r="Q2465" s="8" t="s">
        <v>45</v>
      </c>
      <c r="R2465" s="10" t="s">
        <v>14013</v>
      </c>
      <c r="S2465" s="11"/>
      <c r="T2465" s="6"/>
      <c r="U2465" s="24" t="str">
        <f>HYPERLINK("https://media.infra-m.ru/2102/2102686/cover/2102686.jpg", "Обложка")</f>
        <v>Обложка</v>
      </c>
      <c r="V2465" s="24" t="str">
        <f>HYPERLINK("https://znanium.ru/catalog/product/2102686", "Ознакомиться")</f>
        <v>Ознакомиться</v>
      </c>
      <c r="W2465" s="8" t="s">
        <v>6507</v>
      </c>
      <c r="X2465" s="6"/>
      <c r="Y2465" s="6"/>
      <c r="Z2465" s="6"/>
      <c r="AA2465" s="6" t="s">
        <v>76</v>
      </c>
      <c r="AB2465" s="8"/>
    </row>
    <row r="2466" spans="1:28" s="4" customFormat="1" ht="42" customHeight="1">
      <c r="A2466" s="5">
        <v>0</v>
      </c>
      <c r="B2466" s="6" t="s">
        <v>14014</v>
      </c>
      <c r="C2466" s="13">
        <v>900</v>
      </c>
      <c r="D2466" s="8" t="s">
        <v>14015</v>
      </c>
      <c r="E2466" s="8" t="s">
        <v>14016</v>
      </c>
      <c r="F2466" s="8" t="s">
        <v>2348</v>
      </c>
      <c r="G2466" s="6" t="s">
        <v>81</v>
      </c>
      <c r="H2466" s="6" t="s">
        <v>99</v>
      </c>
      <c r="I2466" s="8"/>
      <c r="J2466" s="9">
        <v>1</v>
      </c>
      <c r="K2466" s="9">
        <v>128</v>
      </c>
      <c r="L2466" s="9">
        <v>2026</v>
      </c>
      <c r="M2466" s="8" t="s">
        <v>14017</v>
      </c>
      <c r="N2466" s="8" t="s">
        <v>42</v>
      </c>
      <c r="O2466" s="8" t="s">
        <v>101</v>
      </c>
      <c r="P2466" s="6" t="s">
        <v>44</v>
      </c>
      <c r="Q2466" s="8" t="s">
        <v>45</v>
      </c>
      <c r="R2466" s="10" t="s">
        <v>600</v>
      </c>
      <c r="S2466" s="11"/>
      <c r="T2466" s="6"/>
      <c r="U2466" s="24" t="str">
        <f>HYPERLINK("https://media.infra-m.ru/2216/2216846/cover/2216846.jpg", "Обложка")</f>
        <v>Обложка</v>
      </c>
      <c r="V2466" s="24" t="str">
        <f>HYPERLINK("https://znanium.ru/catalog/product/2216846", "Ознакомиться")</f>
        <v>Ознакомиться</v>
      </c>
      <c r="W2466" s="8" t="s">
        <v>516</v>
      </c>
      <c r="X2466" s="6"/>
      <c r="Y2466" s="6"/>
      <c r="Z2466" s="6"/>
      <c r="AA2466" s="6" t="s">
        <v>369</v>
      </c>
      <c r="AB2466" s="8"/>
    </row>
    <row r="2467" spans="1:28" s="4" customFormat="1" ht="44.1" customHeight="1">
      <c r="A2467" s="5">
        <v>0</v>
      </c>
      <c r="B2467" s="6" t="s">
        <v>14018</v>
      </c>
      <c r="C2467" s="7">
        <v>1288.8</v>
      </c>
      <c r="D2467" s="8" t="s">
        <v>14019</v>
      </c>
      <c r="E2467" s="8" t="s">
        <v>14020</v>
      </c>
      <c r="F2467" s="8" t="s">
        <v>14021</v>
      </c>
      <c r="G2467" s="6" t="s">
        <v>38</v>
      </c>
      <c r="H2467" s="6" t="s">
        <v>182</v>
      </c>
      <c r="I2467" s="8" t="s">
        <v>40</v>
      </c>
      <c r="J2467" s="9">
        <v>1</v>
      </c>
      <c r="K2467" s="9">
        <v>200</v>
      </c>
      <c r="L2467" s="9">
        <v>2026</v>
      </c>
      <c r="M2467" s="8" t="s">
        <v>14022</v>
      </c>
      <c r="N2467" s="8" t="s">
        <v>42</v>
      </c>
      <c r="O2467" s="8" t="s">
        <v>189</v>
      </c>
      <c r="P2467" s="6" t="s">
        <v>44</v>
      </c>
      <c r="Q2467" s="8" t="s">
        <v>45</v>
      </c>
      <c r="R2467" s="10" t="s">
        <v>14023</v>
      </c>
      <c r="S2467" s="11"/>
      <c r="T2467" s="6"/>
      <c r="U2467" s="24" t="str">
        <f>HYPERLINK("https://media.infra-m.ru/2212/2212447/cover/2212447.jpg", "Обложка")</f>
        <v>Обложка</v>
      </c>
      <c r="V2467" s="12"/>
      <c r="W2467" s="8" t="s">
        <v>2047</v>
      </c>
      <c r="X2467" s="6"/>
      <c r="Y2467" s="6"/>
      <c r="Z2467" s="6"/>
      <c r="AA2467" s="6" t="s">
        <v>119</v>
      </c>
      <c r="AB2467" s="8"/>
    </row>
    <row r="2468" spans="1:28" s="4" customFormat="1" ht="42" customHeight="1">
      <c r="A2468" s="5">
        <v>0</v>
      </c>
      <c r="B2468" s="6" t="s">
        <v>14024</v>
      </c>
      <c r="C2468" s="7">
        <v>1092</v>
      </c>
      <c r="D2468" s="8" t="s">
        <v>14025</v>
      </c>
      <c r="E2468" s="8" t="s">
        <v>14026</v>
      </c>
      <c r="F2468" s="8" t="s">
        <v>2477</v>
      </c>
      <c r="G2468" s="6" t="s">
        <v>38</v>
      </c>
      <c r="H2468" s="6" t="s">
        <v>39</v>
      </c>
      <c r="I2468" s="8" t="s">
        <v>164</v>
      </c>
      <c r="J2468" s="9">
        <v>1</v>
      </c>
      <c r="K2468" s="9">
        <v>170</v>
      </c>
      <c r="L2468" s="9">
        <v>2022</v>
      </c>
      <c r="M2468" s="8" t="s">
        <v>14027</v>
      </c>
      <c r="N2468" s="8" t="s">
        <v>42</v>
      </c>
      <c r="O2468" s="8" t="s">
        <v>189</v>
      </c>
      <c r="P2468" s="6" t="s">
        <v>44</v>
      </c>
      <c r="Q2468" s="8" t="s">
        <v>45</v>
      </c>
      <c r="R2468" s="10" t="s">
        <v>1419</v>
      </c>
      <c r="S2468" s="11"/>
      <c r="T2468" s="6"/>
      <c r="U2468" s="24" t="str">
        <f>HYPERLINK("https://media.infra-m.ru/1860/1860141/cover/1860141.jpg", "Обложка")</f>
        <v>Обложка</v>
      </c>
      <c r="V2468" s="24" t="str">
        <f>HYPERLINK("https://znanium.ru/catalog/product/1860141", "Ознакомиться")</f>
        <v>Ознакомиться</v>
      </c>
      <c r="W2468" s="8" t="s">
        <v>167</v>
      </c>
      <c r="X2468" s="6"/>
      <c r="Y2468" s="6"/>
      <c r="Z2468" s="6"/>
      <c r="AA2468" s="6" t="s">
        <v>111</v>
      </c>
      <c r="AB2468" s="8"/>
    </row>
    <row r="2469" spans="1:28" s="4" customFormat="1" ht="51.95" customHeight="1">
      <c r="A2469" s="5">
        <v>0</v>
      </c>
      <c r="B2469" s="6" t="s">
        <v>14028</v>
      </c>
      <c r="C2469" s="7">
        <v>4008</v>
      </c>
      <c r="D2469" s="8" t="s">
        <v>14029</v>
      </c>
      <c r="E2469" s="8" t="s">
        <v>14030</v>
      </c>
      <c r="F2469" s="8" t="s">
        <v>14031</v>
      </c>
      <c r="G2469" s="6" t="s">
        <v>132</v>
      </c>
      <c r="H2469" s="6" t="s">
        <v>39</v>
      </c>
      <c r="I2469" s="8"/>
      <c r="J2469" s="9">
        <v>1</v>
      </c>
      <c r="K2469" s="9">
        <v>287</v>
      </c>
      <c r="L2469" s="9">
        <v>2023</v>
      </c>
      <c r="M2469" s="8" t="s">
        <v>14032</v>
      </c>
      <c r="N2469" s="8" t="s">
        <v>42</v>
      </c>
      <c r="O2469" s="8" t="s">
        <v>101</v>
      </c>
      <c r="P2469" s="6" t="s">
        <v>44</v>
      </c>
      <c r="Q2469" s="8" t="s">
        <v>45</v>
      </c>
      <c r="R2469" s="10" t="s">
        <v>14033</v>
      </c>
      <c r="S2469" s="11"/>
      <c r="T2469" s="6"/>
      <c r="U2469" s="24" t="str">
        <f>HYPERLINK("https://media.infra-m.ru/2192/2192335/cover/2192335.jpg", "Обложка")</f>
        <v>Обложка</v>
      </c>
      <c r="V2469" s="12"/>
      <c r="W2469" s="8" t="s">
        <v>149</v>
      </c>
      <c r="X2469" s="6"/>
      <c r="Y2469" s="6"/>
      <c r="Z2469" s="6"/>
      <c r="AA2469" s="6" t="s">
        <v>119</v>
      </c>
      <c r="AB2469" s="8"/>
    </row>
    <row r="2470" spans="1:28" s="4" customFormat="1" ht="42" customHeight="1">
      <c r="A2470" s="5">
        <v>0</v>
      </c>
      <c r="B2470" s="6" t="s">
        <v>14034</v>
      </c>
      <c r="C2470" s="13">
        <v>761.9</v>
      </c>
      <c r="D2470" s="8" t="s">
        <v>14035</v>
      </c>
      <c r="E2470" s="8" t="s">
        <v>14036</v>
      </c>
      <c r="F2470" s="8" t="s">
        <v>14037</v>
      </c>
      <c r="G2470" s="6" t="s">
        <v>38</v>
      </c>
      <c r="H2470" s="6" t="s">
        <v>39</v>
      </c>
      <c r="I2470" s="8" t="s">
        <v>40</v>
      </c>
      <c r="J2470" s="9">
        <v>30</v>
      </c>
      <c r="K2470" s="9">
        <v>204</v>
      </c>
      <c r="L2470" s="9">
        <v>2016</v>
      </c>
      <c r="M2470" s="8" t="s">
        <v>14038</v>
      </c>
      <c r="N2470" s="8" t="s">
        <v>42</v>
      </c>
      <c r="O2470" s="8" t="s">
        <v>65</v>
      </c>
      <c r="P2470" s="6" t="s">
        <v>44</v>
      </c>
      <c r="Q2470" s="8" t="s">
        <v>45</v>
      </c>
      <c r="R2470" s="10" t="s">
        <v>12244</v>
      </c>
      <c r="S2470" s="11"/>
      <c r="T2470" s="6"/>
      <c r="U2470" s="24" t="str">
        <f>HYPERLINK("https://media.infra-m.ru/0521/0521769/cover/521769.jpg", "Обложка")</f>
        <v>Обложка</v>
      </c>
      <c r="V2470" s="24" t="str">
        <f>HYPERLINK("https://znanium.ru/catalog/product/407062", "Ознакомиться")</f>
        <v>Ознакомиться</v>
      </c>
      <c r="W2470" s="8"/>
      <c r="X2470" s="6"/>
      <c r="Y2470" s="6"/>
      <c r="Z2470" s="6"/>
      <c r="AA2470" s="6" t="s">
        <v>127</v>
      </c>
      <c r="AB2470" s="8"/>
    </row>
    <row r="2471" spans="1:28" s="4" customFormat="1" ht="42" customHeight="1">
      <c r="A2471" s="5">
        <v>0</v>
      </c>
      <c r="B2471" s="6" t="s">
        <v>14039</v>
      </c>
      <c r="C2471" s="7">
        <v>1104</v>
      </c>
      <c r="D2471" s="8" t="s">
        <v>14040</v>
      </c>
      <c r="E2471" s="8" t="s">
        <v>14041</v>
      </c>
      <c r="F2471" s="8" t="s">
        <v>14042</v>
      </c>
      <c r="G2471" s="6" t="s">
        <v>38</v>
      </c>
      <c r="H2471" s="6" t="s">
        <v>39</v>
      </c>
      <c r="I2471" s="8" t="s">
        <v>40</v>
      </c>
      <c r="J2471" s="9">
        <v>1</v>
      </c>
      <c r="K2471" s="9">
        <v>165</v>
      </c>
      <c r="L2471" s="9">
        <v>2025</v>
      </c>
      <c r="M2471" s="8" t="s">
        <v>14043</v>
      </c>
      <c r="N2471" s="8" t="s">
        <v>42</v>
      </c>
      <c r="O2471" s="8" t="s">
        <v>1315</v>
      </c>
      <c r="P2471" s="6" t="s">
        <v>44</v>
      </c>
      <c r="Q2471" s="8" t="s">
        <v>45</v>
      </c>
      <c r="R2471" s="10" t="s">
        <v>508</v>
      </c>
      <c r="S2471" s="11"/>
      <c r="T2471" s="6"/>
      <c r="U2471" s="24" t="str">
        <f>HYPERLINK("https://media.infra-m.ru/2202/2202380/cover/2202380.jpg", "Обложка")</f>
        <v>Обложка</v>
      </c>
      <c r="V2471" s="24" t="str">
        <f>HYPERLINK("https://znanium.ru/catalog/product/2202380", "Ознакомиться")</f>
        <v>Ознакомиться</v>
      </c>
      <c r="W2471" s="8" t="s">
        <v>1349</v>
      </c>
      <c r="X2471" s="6" t="s">
        <v>450</v>
      </c>
      <c r="Y2471" s="6"/>
      <c r="Z2471" s="6"/>
      <c r="AA2471" s="6" t="s">
        <v>159</v>
      </c>
      <c r="AB2471" s="8"/>
    </row>
    <row r="2472" spans="1:28" s="4" customFormat="1" ht="51.95" customHeight="1">
      <c r="A2472" s="5">
        <v>0</v>
      </c>
      <c r="B2472" s="6" t="s">
        <v>14044</v>
      </c>
      <c r="C2472" s="7">
        <v>1500</v>
      </c>
      <c r="D2472" s="8" t="s">
        <v>14045</v>
      </c>
      <c r="E2472" s="8" t="s">
        <v>14046</v>
      </c>
      <c r="F2472" s="8" t="s">
        <v>7103</v>
      </c>
      <c r="G2472" s="6" t="s">
        <v>81</v>
      </c>
      <c r="H2472" s="6" t="s">
        <v>99</v>
      </c>
      <c r="I2472" s="8"/>
      <c r="J2472" s="9">
        <v>1</v>
      </c>
      <c r="K2472" s="9">
        <v>240</v>
      </c>
      <c r="L2472" s="9">
        <v>2025</v>
      </c>
      <c r="M2472" s="8" t="s">
        <v>14047</v>
      </c>
      <c r="N2472" s="8" t="s">
        <v>42</v>
      </c>
      <c r="O2472" s="8" t="s">
        <v>101</v>
      </c>
      <c r="P2472" s="6" t="s">
        <v>44</v>
      </c>
      <c r="Q2472" s="8" t="s">
        <v>45</v>
      </c>
      <c r="R2472" s="10" t="s">
        <v>14048</v>
      </c>
      <c r="S2472" s="11"/>
      <c r="T2472" s="6"/>
      <c r="U2472" s="24" t="str">
        <f>HYPERLINK("https://media.infra-m.ru/2210/2210860/cover/2210860.jpg", "Обложка")</f>
        <v>Обложка</v>
      </c>
      <c r="V2472" s="24" t="str">
        <f>HYPERLINK("https://znanium.ru/catalog/product/2185005", "Ознакомиться")</f>
        <v>Ознакомиться</v>
      </c>
      <c r="W2472" s="8" t="s">
        <v>103</v>
      </c>
      <c r="X2472" s="6"/>
      <c r="Y2472" s="6"/>
      <c r="Z2472" s="6"/>
      <c r="AA2472" s="6" t="s">
        <v>58</v>
      </c>
      <c r="AB2472" s="8"/>
    </row>
    <row r="2473" spans="1:28" s="4" customFormat="1" ht="51.95" customHeight="1">
      <c r="A2473" s="5">
        <v>0</v>
      </c>
      <c r="B2473" s="6" t="s">
        <v>14049</v>
      </c>
      <c r="C2473" s="7">
        <v>1524</v>
      </c>
      <c r="D2473" s="8" t="s">
        <v>14050</v>
      </c>
      <c r="E2473" s="8" t="s">
        <v>14051</v>
      </c>
      <c r="F2473" s="8" t="s">
        <v>8564</v>
      </c>
      <c r="G2473" s="6" t="s">
        <v>38</v>
      </c>
      <c r="H2473" s="6" t="s">
        <v>39</v>
      </c>
      <c r="I2473" s="8" t="s">
        <v>40</v>
      </c>
      <c r="J2473" s="9">
        <v>1</v>
      </c>
      <c r="K2473" s="9">
        <v>276</v>
      </c>
      <c r="L2473" s="9">
        <v>2024</v>
      </c>
      <c r="M2473" s="8" t="s">
        <v>14052</v>
      </c>
      <c r="N2473" s="8" t="s">
        <v>42</v>
      </c>
      <c r="O2473" s="8" t="s">
        <v>65</v>
      </c>
      <c r="P2473" s="6" t="s">
        <v>44</v>
      </c>
      <c r="Q2473" s="8" t="s">
        <v>45</v>
      </c>
      <c r="R2473" s="10" t="s">
        <v>14053</v>
      </c>
      <c r="S2473" s="11"/>
      <c r="T2473" s="6"/>
      <c r="U2473" s="24" t="str">
        <f>HYPERLINK("https://media.infra-m.ru/2117/2117064/cover/2117064.jpg", "Обложка")</f>
        <v>Обложка</v>
      </c>
      <c r="V2473" s="24" t="str">
        <f>HYPERLINK("https://znanium.ru/catalog/product/2117064", "Ознакомиться")</f>
        <v>Ознакомиться</v>
      </c>
      <c r="W2473" s="8" t="s">
        <v>191</v>
      </c>
      <c r="X2473" s="6"/>
      <c r="Y2473" s="6"/>
      <c r="Z2473" s="6"/>
      <c r="AA2473" s="6" t="s">
        <v>168</v>
      </c>
      <c r="AB2473" s="8"/>
    </row>
    <row r="2474" spans="1:28" s="4" customFormat="1" ht="42" customHeight="1">
      <c r="A2474" s="5">
        <v>0</v>
      </c>
      <c r="B2474" s="6" t="s">
        <v>14054</v>
      </c>
      <c r="C2474" s="7">
        <v>1720.8</v>
      </c>
      <c r="D2474" s="8" t="s">
        <v>14055</v>
      </c>
      <c r="E2474" s="8" t="s">
        <v>14056</v>
      </c>
      <c r="F2474" s="8" t="s">
        <v>14057</v>
      </c>
      <c r="G2474" s="6" t="s">
        <v>38</v>
      </c>
      <c r="H2474" s="6" t="s">
        <v>182</v>
      </c>
      <c r="I2474" s="8"/>
      <c r="J2474" s="9">
        <v>1</v>
      </c>
      <c r="K2474" s="9">
        <v>276</v>
      </c>
      <c r="L2474" s="9">
        <v>2025</v>
      </c>
      <c r="M2474" s="8" t="s">
        <v>14058</v>
      </c>
      <c r="N2474" s="8" t="s">
        <v>42</v>
      </c>
      <c r="O2474" s="8" t="s">
        <v>189</v>
      </c>
      <c r="P2474" s="6" t="s">
        <v>44</v>
      </c>
      <c r="Q2474" s="8" t="s">
        <v>45</v>
      </c>
      <c r="R2474" s="10" t="s">
        <v>1100</v>
      </c>
      <c r="S2474" s="11"/>
      <c r="T2474" s="6"/>
      <c r="U2474" s="24" t="str">
        <f>HYPERLINK("https://media.infra-m.ru/2208/2208449/cover/2208449.jpg", "Обложка")</f>
        <v>Обложка</v>
      </c>
      <c r="V2474" s="12"/>
      <c r="W2474" s="8" t="s">
        <v>3412</v>
      </c>
      <c r="X2474" s="6"/>
      <c r="Y2474" s="6"/>
      <c r="Z2474" s="6"/>
      <c r="AA2474" s="6" t="s">
        <v>76</v>
      </c>
      <c r="AB2474" s="8"/>
    </row>
    <row r="2475" spans="1:28" s="4" customFormat="1" ht="51.95" customHeight="1">
      <c r="A2475" s="5">
        <v>0</v>
      </c>
      <c r="B2475" s="6" t="s">
        <v>14059</v>
      </c>
      <c r="C2475" s="7">
        <v>1456.8</v>
      </c>
      <c r="D2475" s="8" t="s">
        <v>14060</v>
      </c>
      <c r="E2475" s="8" t="s">
        <v>14061</v>
      </c>
      <c r="F2475" s="8" t="s">
        <v>14062</v>
      </c>
      <c r="G2475" s="6" t="s">
        <v>38</v>
      </c>
      <c r="H2475" s="6" t="s">
        <v>1019</v>
      </c>
      <c r="I2475" s="8" t="s">
        <v>1020</v>
      </c>
      <c r="J2475" s="9">
        <v>1</v>
      </c>
      <c r="K2475" s="9">
        <v>264</v>
      </c>
      <c r="L2475" s="9">
        <v>2024</v>
      </c>
      <c r="M2475" s="8" t="s">
        <v>14063</v>
      </c>
      <c r="N2475" s="8" t="s">
        <v>220</v>
      </c>
      <c r="O2475" s="8" t="s">
        <v>252</v>
      </c>
      <c r="P2475" s="6" t="s">
        <v>44</v>
      </c>
      <c r="Q2475" s="8" t="s">
        <v>45</v>
      </c>
      <c r="R2475" s="10" t="s">
        <v>14064</v>
      </c>
      <c r="S2475" s="11"/>
      <c r="T2475" s="6"/>
      <c r="U2475" s="12"/>
      <c r="V2475" s="24" t="str">
        <f>HYPERLINK("https://znanium.ru/catalog/product/1567222", "Ознакомиться")</f>
        <v>Ознакомиться</v>
      </c>
      <c r="W2475" s="8" t="s">
        <v>2019</v>
      </c>
      <c r="X2475" s="6"/>
      <c r="Y2475" s="6"/>
      <c r="Z2475" s="6"/>
      <c r="AA2475" s="6" t="s">
        <v>290</v>
      </c>
      <c r="AB2475" s="8"/>
    </row>
    <row r="2476" spans="1:28" s="4" customFormat="1" ht="51.95" customHeight="1">
      <c r="A2476" s="5">
        <v>0</v>
      </c>
      <c r="B2476" s="6" t="s">
        <v>14065</v>
      </c>
      <c r="C2476" s="7">
        <v>1908</v>
      </c>
      <c r="D2476" s="8" t="s">
        <v>14066</v>
      </c>
      <c r="E2476" s="8" t="s">
        <v>14067</v>
      </c>
      <c r="F2476" s="8" t="s">
        <v>4526</v>
      </c>
      <c r="G2476" s="6" t="s">
        <v>132</v>
      </c>
      <c r="H2476" s="6" t="s">
        <v>39</v>
      </c>
      <c r="I2476" s="8" t="s">
        <v>40</v>
      </c>
      <c r="J2476" s="9">
        <v>1</v>
      </c>
      <c r="K2476" s="9">
        <v>288</v>
      </c>
      <c r="L2476" s="9">
        <v>2025</v>
      </c>
      <c r="M2476" s="8" t="s">
        <v>14068</v>
      </c>
      <c r="N2476" s="8" t="s">
        <v>284</v>
      </c>
      <c r="O2476" s="8" t="s">
        <v>2265</v>
      </c>
      <c r="P2476" s="6" t="s">
        <v>44</v>
      </c>
      <c r="Q2476" s="8" t="s">
        <v>45</v>
      </c>
      <c r="R2476" s="10" t="s">
        <v>14069</v>
      </c>
      <c r="S2476" s="11"/>
      <c r="T2476" s="6"/>
      <c r="U2476" s="24" t="str">
        <f>HYPERLINK("https://media.infra-m.ru/2163/2163263/cover/2163263.jpg", "Обложка")</f>
        <v>Обложка</v>
      </c>
      <c r="V2476" s="24" t="str">
        <f>HYPERLINK("https://znanium.ru/catalog/product/2163263", "Ознакомиться")</f>
        <v>Ознакомиться</v>
      </c>
      <c r="W2476" s="8" t="s">
        <v>289</v>
      </c>
      <c r="X2476" s="6" t="s">
        <v>3436</v>
      </c>
      <c r="Y2476" s="6"/>
      <c r="Z2476" s="6"/>
      <c r="AA2476" s="6" t="s">
        <v>159</v>
      </c>
      <c r="AB2476" s="8" t="s">
        <v>4253</v>
      </c>
    </row>
    <row r="2477" spans="1:28" s="4" customFormat="1" ht="44.1" customHeight="1">
      <c r="A2477" s="5">
        <v>0</v>
      </c>
      <c r="B2477" s="6" t="s">
        <v>14070</v>
      </c>
      <c r="C2477" s="7">
        <v>1068</v>
      </c>
      <c r="D2477" s="8" t="s">
        <v>14071</v>
      </c>
      <c r="E2477" s="8" t="s">
        <v>14072</v>
      </c>
      <c r="F2477" s="8" t="s">
        <v>14073</v>
      </c>
      <c r="G2477" s="6" t="s">
        <v>38</v>
      </c>
      <c r="H2477" s="6" t="s">
        <v>39</v>
      </c>
      <c r="I2477" s="8" t="s">
        <v>40</v>
      </c>
      <c r="J2477" s="9">
        <v>1</v>
      </c>
      <c r="K2477" s="9">
        <v>181</v>
      </c>
      <c r="L2477" s="9">
        <v>2022</v>
      </c>
      <c r="M2477" s="8" t="s">
        <v>14074</v>
      </c>
      <c r="N2477" s="8" t="s">
        <v>284</v>
      </c>
      <c r="O2477" s="8" t="s">
        <v>482</v>
      </c>
      <c r="P2477" s="6" t="s">
        <v>44</v>
      </c>
      <c r="Q2477" s="8" t="s">
        <v>45</v>
      </c>
      <c r="R2477" s="10" t="s">
        <v>14075</v>
      </c>
      <c r="S2477" s="11"/>
      <c r="T2477" s="6"/>
      <c r="U2477" s="24" t="str">
        <f>HYPERLINK("https://media.infra-m.ru/1867/1867635/cover/1867635.jpg", "Обложка")</f>
        <v>Обложка</v>
      </c>
      <c r="V2477" s="24" t="str">
        <f>HYPERLINK("https://znanium.ru/catalog/product/1867635", "Ознакомиться")</f>
        <v>Ознакомиться</v>
      </c>
      <c r="W2477" s="8" t="s">
        <v>75</v>
      </c>
      <c r="X2477" s="6"/>
      <c r="Y2477" s="6"/>
      <c r="Z2477" s="6"/>
      <c r="AA2477" s="6" t="s">
        <v>111</v>
      </c>
      <c r="AB2477" s="8"/>
    </row>
    <row r="2478" spans="1:28" s="4" customFormat="1" ht="42" customHeight="1">
      <c r="A2478" s="5">
        <v>0</v>
      </c>
      <c r="B2478" s="6" t="s">
        <v>14076</v>
      </c>
      <c r="C2478" s="7">
        <v>1781.9</v>
      </c>
      <c r="D2478" s="8" t="s">
        <v>14077</v>
      </c>
      <c r="E2478" s="8" t="s">
        <v>14078</v>
      </c>
      <c r="F2478" s="8" t="s">
        <v>14079</v>
      </c>
      <c r="G2478" s="6" t="s">
        <v>132</v>
      </c>
      <c r="H2478" s="6" t="s">
        <v>39</v>
      </c>
      <c r="I2478" s="8" t="s">
        <v>344</v>
      </c>
      <c r="J2478" s="9">
        <v>1</v>
      </c>
      <c r="K2478" s="9">
        <v>424</v>
      </c>
      <c r="L2478" s="9">
        <v>2020</v>
      </c>
      <c r="M2478" s="8" t="s">
        <v>14080</v>
      </c>
      <c r="N2478" s="8" t="s">
        <v>220</v>
      </c>
      <c r="O2478" s="8" t="s">
        <v>296</v>
      </c>
      <c r="P2478" s="6" t="s">
        <v>44</v>
      </c>
      <c r="Q2478" s="8" t="s">
        <v>45</v>
      </c>
      <c r="R2478" s="10"/>
      <c r="S2478" s="11"/>
      <c r="T2478" s="6"/>
      <c r="U2478" s="24" t="str">
        <f>HYPERLINK("https://media.infra-m.ru/1044/1044616/cover/1044616.jpg", "Обложка")</f>
        <v>Обложка</v>
      </c>
      <c r="V2478" s="12"/>
      <c r="W2478" s="8" t="s">
        <v>346</v>
      </c>
      <c r="X2478" s="6"/>
      <c r="Y2478" s="6"/>
      <c r="Z2478" s="6"/>
      <c r="AA2478" s="6" t="s">
        <v>68</v>
      </c>
      <c r="AB2478" s="8"/>
    </row>
    <row r="2479" spans="1:28" s="4" customFormat="1" ht="51.95" customHeight="1">
      <c r="A2479" s="5">
        <v>0</v>
      </c>
      <c r="B2479" s="6" t="s">
        <v>14081</v>
      </c>
      <c r="C2479" s="7">
        <v>1156.8</v>
      </c>
      <c r="D2479" s="8" t="s">
        <v>14082</v>
      </c>
      <c r="E2479" s="8" t="s">
        <v>14083</v>
      </c>
      <c r="F2479" s="8" t="s">
        <v>14084</v>
      </c>
      <c r="G2479" s="6" t="s">
        <v>38</v>
      </c>
      <c r="H2479" s="6" t="s">
        <v>39</v>
      </c>
      <c r="I2479" s="8" t="s">
        <v>40</v>
      </c>
      <c r="J2479" s="9">
        <v>1</v>
      </c>
      <c r="K2479" s="9">
        <v>184</v>
      </c>
      <c r="L2479" s="9">
        <v>2025</v>
      </c>
      <c r="M2479" s="8" t="s">
        <v>14085</v>
      </c>
      <c r="N2479" s="8" t="s">
        <v>54</v>
      </c>
      <c r="O2479" s="8" t="s">
        <v>91</v>
      </c>
      <c r="P2479" s="6" t="s">
        <v>44</v>
      </c>
      <c r="Q2479" s="8" t="s">
        <v>45</v>
      </c>
      <c r="R2479" s="10" t="s">
        <v>92</v>
      </c>
      <c r="S2479" s="11"/>
      <c r="T2479" s="6"/>
      <c r="U2479" s="24" t="str">
        <f>HYPERLINK("https://media.infra-m.ru/2192/2192213/cover/2192213.jpg", "Обложка")</f>
        <v>Обложка</v>
      </c>
      <c r="V2479" s="24" t="str">
        <f>HYPERLINK("https://znanium.ru/catalog/product/918483", "Ознакомиться")</f>
        <v>Ознакомиться</v>
      </c>
      <c r="W2479" s="8" t="s">
        <v>6338</v>
      </c>
      <c r="X2479" s="6"/>
      <c r="Y2479" s="6"/>
      <c r="Z2479" s="6"/>
      <c r="AA2479" s="6" t="s">
        <v>48</v>
      </c>
      <c r="AB2479" s="8"/>
    </row>
    <row r="2480" spans="1:28" s="4" customFormat="1" ht="42" customHeight="1">
      <c r="A2480" s="5">
        <v>0</v>
      </c>
      <c r="B2480" s="6" t="s">
        <v>14086</v>
      </c>
      <c r="C2480" s="7">
        <v>1228.8</v>
      </c>
      <c r="D2480" s="8" t="s">
        <v>14087</v>
      </c>
      <c r="E2480" s="8" t="s">
        <v>14088</v>
      </c>
      <c r="F2480" s="8" t="s">
        <v>14089</v>
      </c>
      <c r="G2480" s="6" t="s">
        <v>38</v>
      </c>
      <c r="H2480" s="6" t="s">
        <v>39</v>
      </c>
      <c r="I2480" s="8" t="s">
        <v>40</v>
      </c>
      <c r="J2480" s="9">
        <v>1</v>
      </c>
      <c r="K2480" s="9">
        <v>223</v>
      </c>
      <c r="L2480" s="9">
        <v>2024</v>
      </c>
      <c r="M2480" s="8" t="s">
        <v>14090</v>
      </c>
      <c r="N2480" s="8" t="s">
        <v>284</v>
      </c>
      <c r="O2480" s="8" t="s">
        <v>717</v>
      </c>
      <c r="P2480" s="6" t="s">
        <v>44</v>
      </c>
      <c r="Q2480" s="8" t="s">
        <v>45</v>
      </c>
      <c r="R2480" s="10" t="s">
        <v>14091</v>
      </c>
      <c r="S2480" s="11"/>
      <c r="T2480" s="6"/>
      <c r="U2480" s="24" t="str">
        <f>HYPERLINK("https://media.infra-m.ru/2091/2091935/cover/2091935.jpg", "Обложка")</f>
        <v>Обложка</v>
      </c>
      <c r="V2480" s="24" t="str">
        <f>HYPERLINK("https://znanium.ru/catalog/product/396286", "Ознакомиться")</f>
        <v>Ознакомиться</v>
      </c>
      <c r="W2480" s="8" t="s">
        <v>3137</v>
      </c>
      <c r="X2480" s="6"/>
      <c r="Y2480" s="6"/>
      <c r="Z2480" s="6"/>
      <c r="AA2480" s="6" t="s">
        <v>127</v>
      </c>
      <c r="AB2480" s="8"/>
    </row>
    <row r="2481" spans="1:28" s="4" customFormat="1" ht="51.95" customHeight="1">
      <c r="A2481" s="5">
        <v>0</v>
      </c>
      <c r="B2481" s="6" t="s">
        <v>14092</v>
      </c>
      <c r="C2481" s="7">
        <v>1289.9000000000001</v>
      </c>
      <c r="D2481" s="8" t="s">
        <v>14093</v>
      </c>
      <c r="E2481" s="8" t="s">
        <v>14094</v>
      </c>
      <c r="F2481" s="8" t="s">
        <v>14089</v>
      </c>
      <c r="G2481" s="6" t="s">
        <v>38</v>
      </c>
      <c r="H2481" s="6" t="s">
        <v>39</v>
      </c>
      <c r="I2481" s="8" t="s">
        <v>40</v>
      </c>
      <c r="J2481" s="9">
        <v>1</v>
      </c>
      <c r="K2481" s="9">
        <v>238</v>
      </c>
      <c r="L2481" s="9">
        <v>2023</v>
      </c>
      <c r="M2481" s="8" t="s">
        <v>14095</v>
      </c>
      <c r="N2481" s="8" t="s">
        <v>284</v>
      </c>
      <c r="O2481" s="8" t="s">
        <v>717</v>
      </c>
      <c r="P2481" s="6" t="s">
        <v>44</v>
      </c>
      <c r="Q2481" s="8" t="s">
        <v>45</v>
      </c>
      <c r="R2481" s="10" t="s">
        <v>14096</v>
      </c>
      <c r="S2481" s="11"/>
      <c r="T2481" s="6"/>
      <c r="U2481" s="24" t="str">
        <f>HYPERLINK("https://media.infra-m.ru/1911/1911152/cover/1911152.jpg", "Обложка")</f>
        <v>Обложка</v>
      </c>
      <c r="V2481" s="24" t="str">
        <f>HYPERLINK("https://znanium.ru/catalog/product/1254831", "Ознакомиться")</f>
        <v>Ознакомиться</v>
      </c>
      <c r="W2481" s="8" t="s">
        <v>3137</v>
      </c>
      <c r="X2481" s="6"/>
      <c r="Y2481" s="6"/>
      <c r="Z2481" s="6"/>
      <c r="AA2481" s="6" t="s">
        <v>127</v>
      </c>
      <c r="AB2481" s="8"/>
    </row>
    <row r="2482" spans="1:28" s="4" customFormat="1" ht="51.95" customHeight="1">
      <c r="A2482" s="5">
        <v>0</v>
      </c>
      <c r="B2482" s="6" t="s">
        <v>14097</v>
      </c>
      <c r="C2482" s="7">
        <v>1344</v>
      </c>
      <c r="D2482" s="8" t="s">
        <v>14098</v>
      </c>
      <c r="E2482" s="8" t="s">
        <v>14099</v>
      </c>
      <c r="F2482" s="8" t="s">
        <v>14089</v>
      </c>
      <c r="G2482" s="6" t="s">
        <v>38</v>
      </c>
      <c r="H2482" s="6" t="s">
        <v>39</v>
      </c>
      <c r="I2482" s="8" t="s">
        <v>40</v>
      </c>
      <c r="J2482" s="9">
        <v>1</v>
      </c>
      <c r="K2482" s="9">
        <v>204</v>
      </c>
      <c r="L2482" s="9">
        <v>2026</v>
      </c>
      <c r="M2482" s="8" t="s">
        <v>14100</v>
      </c>
      <c r="N2482" s="8" t="s">
        <v>284</v>
      </c>
      <c r="O2482" s="8" t="s">
        <v>717</v>
      </c>
      <c r="P2482" s="6" t="s">
        <v>44</v>
      </c>
      <c r="Q2482" s="8" t="s">
        <v>45</v>
      </c>
      <c r="R2482" s="10" t="s">
        <v>14101</v>
      </c>
      <c r="S2482" s="11"/>
      <c r="T2482" s="6" t="s">
        <v>1080</v>
      </c>
      <c r="U2482" s="24" t="str">
        <f>HYPERLINK("https://media.infra-m.ru/2225/2225441/cover/2225441.jpg", "Обложка")</f>
        <v>Обложка</v>
      </c>
      <c r="V2482" s="24" t="str">
        <f>HYPERLINK("https://znanium.ru/catalog/product/2225441", "Ознакомиться")</f>
        <v>Ознакомиться</v>
      </c>
      <c r="W2482" s="8" t="s">
        <v>3137</v>
      </c>
      <c r="X2482" s="6"/>
      <c r="Y2482" s="6"/>
      <c r="Z2482" s="6"/>
      <c r="AA2482" s="6" t="s">
        <v>377</v>
      </c>
      <c r="AB2482" s="8"/>
    </row>
    <row r="2483" spans="1:28" s="4" customFormat="1" ht="44.1" customHeight="1">
      <c r="A2483" s="5">
        <v>0</v>
      </c>
      <c r="B2483" s="6" t="s">
        <v>14102</v>
      </c>
      <c r="C2483" s="7">
        <v>1372.8</v>
      </c>
      <c r="D2483" s="8" t="s">
        <v>14103</v>
      </c>
      <c r="E2483" s="8" t="s">
        <v>14104</v>
      </c>
      <c r="F2483" s="8" t="s">
        <v>955</v>
      </c>
      <c r="G2483" s="6" t="s">
        <v>132</v>
      </c>
      <c r="H2483" s="6" t="s">
        <v>39</v>
      </c>
      <c r="I2483" s="8" t="s">
        <v>40</v>
      </c>
      <c r="J2483" s="9">
        <v>1</v>
      </c>
      <c r="K2483" s="9">
        <v>221</v>
      </c>
      <c r="L2483" s="9">
        <v>2026</v>
      </c>
      <c r="M2483" s="8" t="s">
        <v>14105</v>
      </c>
      <c r="N2483" s="8" t="s">
        <v>229</v>
      </c>
      <c r="O2483" s="8" t="s">
        <v>230</v>
      </c>
      <c r="P2483" s="6" t="s">
        <v>44</v>
      </c>
      <c r="Q2483" s="8" t="s">
        <v>45</v>
      </c>
      <c r="R2483" s="10" t="s">
        <v>14106</v>
      </c>
      <c r="S2483" s="11"/>
      <c r="T2483" s="6"/>
      <c r="U2483" s="24" t="str">
        <f>HYPERLINK("https://media.infra-m.ru/2216/2216857/cover/2216857.jpg", "Обложка")</f>
        <v>Обложка</v>
      </c>
      <c r="V2483" s="24" t="str">
        <f>HYPERLINK("https://znanium.ru/catalog/product/2215358", "Ознакомиться")</f>
        <v>Ознакомиться</v>
      </c>
      <c r="W2483" s="8" t="s">
        <v>354</v>
      </c>
      <c r="X2483" s="6"/>
      <c r="Y2483" s="6"/>
      <c r="Z2483" s="6"/>
      <c r="AA2483" s="6" t="s">
        <v>119</v>
      </c>
      <c r="AB2483" s="8"/>
    </row>
    <row r="2484" spans="1:28" s="4" customFormat="1" ht="42" customHeight="1">
      <c r="A2484" s="5">
        <v>0</v>
      </c>
      <c r="B2484" s="6" t="s">
        <v>14107</v>
      </c>
      <c r="C2484" s="13">
        <v>960</v>
      </c>
      <c r="D2484" s="8" t="s">
        <v>14108</v>
      </c>
      <c r="E2484" s="8" t="s">
        <v>14109</v>
      </c>
      <c r="F2484" s="8" t="s">
        <v>172</v>
      </c>
      <c r="G2484" s="6" t="s">
        <v>38</v>
      </c>
      <c r="H2484" s="6" t="s">
        <v>1019</v>
      </c>
      <c r="I2484" s="8" t="s">
        <v>1020</v>
      </c>
      <c r="J2484" s="9">
        <v>1</v>
      </c>
      <c r="K2484" s="9">
        <v>160</v>
      </c>
      <c r="L2484" s="9">
        <v>2025</v>
      </c>
      <c r="M2484" s="8" t="s">
        <v>14110</v>
      </c>
      <c r="N2484" s="8" t="s">
        <v>42</v>
      </c>
      <c r="O2484" s="8" t="s">
        <v>1002</v>
      </c>
      <c r="P2484" s="6" t="s">
        <v>44</v>
      </c>
      <c r="Q2484" s="8" t="s">
        <v>45</v>
      </c>
      <c r="R2484" s="10" t="s">
        <v>14111</v>
      </c>
      <c r="S2484" s="11"/>
      <c r="T2484" s="6"/>
      <c r="U2484" s="24" t="str">
        <f>HYPERLINK("https://media.infra-m.ru/2159/2159762/cover/2159762.jpg", "Обложка")</f>
        <v>Обложка</v>
      </c>
      <c r="V2484" s="24" t="str">
        <f>HYPERLINK("https://znanium.ru/catalog/product/2159762", "Ознакомиться")</f>
        <v>Ознакомиться</v>
      </c>
      <c r="W2484" s="8" t="s">
        <v>176</v>
      </c>
      <c r="X2484" s="6"/>
      <c r="Y2484" s="6"/>
      <c r="Z2484" s="6"/>
      <c r="AA2484" s="6" t="s">
        <v>277</v>
      </c>
      <c r="AB2484" s="8" t="s">
        <v>653</v>
      </c>
    </row>
    <row r="2485" spans="1:28" s="4" customFormat="1" ht="51.95" customHeight="1">
      <c r="A2485" s="5">
        <v>0</v>
      </c>
      <c r="B2485" s="6" t="s">
        <v>14112</v>
      </c>
      <c r="C2485" s="7">
        <v>1312.8</v>
      </c>
      <c r="D2485" s="8" t="s">
        <v>14113</v>
      </c>
      <c r="E2485" s="8" t="s">
        <v>14114</v>
      </c>
      <c r="F2485" s="8" t="s">
        <v>14115</v>
      </c>
      <c r="G2485" s="6" t="s">
        <v>38</v>
      </c>
      <c r="H2485" s="6" t="s">
        <v>1019</v>
      </c>
      <c r="I2485" s="8" t="s">
        <v>1020</v>
      </c>
      <c r="J2485" s="9">
        <v>1</v>
      </c>
      <c r="K2485" s="9">
        <v>238</v>
      </c>
      <c r="L2485" s="9">
        <v>2024</v>
      </c>
      <c r="M2485" s="8" t="s">
        <v>14116</v>
      </c>
      <c r="N2485" s="8" t="s">
        <v>54</v>
      </c>
      <c r="O2485" s="8" t="s">
        <v>91</v>
      </c>
      <c r="P2485" s="6" t="s">
        <v>44</v>
      </c>
      <c r="Q2485" s="8" t="s">
        <v>1152</v>
      </c>
      <c r="R2485" s="10" t="s">
        <v>14117</v>
      </c>
      <c r="S2485" s="11"/>
      <c r="T2485" s="6"/>
      <c r="U2485" s="24" t="str">
        <f>HYPERLINK("https://media.infra-m.ru/2088/2088254/cover/2088254.jpg", "Обложка")</f>
        <v>Обложка</v>
      </c>
      <c r="V2485" s="24" t="str">
        <f>HYPERLINK("https://znanium.ru/catalog/product/1010766", "Ознакомиться")</f>
        <v>Ознакомиться</v>
      </c>
      <c r="W2485" s="8" t="s">
        <v>176</v>
      </c>
      <c r="X2485" s="6"/>
      <c r="Y2485" s="6"/>
      <c r="Z2485" s="6"/>
      <c r="AA2485" s="6" t="s">
        <v>331</v>
      </c>
      <c r="AB2485" s="8"/>
    </row>
    <row r="2486" spans="1:28" s="4" customFormat="1" ht="42" customHeight="1">
      <c r="A2486" s="5">
        <v>0</v>
      </c>
      <c r="B2486" s="6" t="s">
        <v>14118</v>
      </c>
      <c r="C2486" s="13">
        <v>532.79999999999995</v>
      </c>
      <c r="D2486" s="8" t="s">
        <v>14119</v>
      </c>
      <c r="E2486" s="8" t="s">
        <v>14120</v>
      </c>
      <c r="F2486" s="8" t="s">
        <v>14121</v>
      </c>
      <c r="G2486" s="6" t="s">
        <v>38</v>
      </c>
      <c r="H2486" s="6" t="s">
        <v>39</v>
      </c>
      <c r="I2486" s="8" t="s">
        <v>40</v>
      </c>
      <c r="J2486" s="9">
        <v>1</v>
      </c>
      <c r="K2486" s="9">
        <v>90</v>
      </c>
      <c r="L2486" s="9">
        <v>2023</v>
      </c>
      <c r="M2486" s="8" t="s">
        <v>14122</v>
      </c>
      <c r="N2486" s="8" t="s">
        <v>229</v>
      </c>
      <c r="O2486" s="8" t="s">
        <v>230</v>
      </c>
      <c r="P2486" s="6" t="s">
        <v>44</v>
      </c>
      <c r="Q2486" s="8" t="s">
        <v>45</v>
      </c>
      <c r="R2486" s="10" t="s">
        <v>14123</v>
      </c>
      <c r="S2486" s="11"/>
      <c r="T2486" s="6"/>
      <c r="U2486" s="24" t="str">
        <f>HYPERLINK("https://media.infra-m.ru/1996/1996448/cover/1996448.jpg", "Обложка")</f>
        <v>Обложка</v>
      </c>
      <c r="V2486" s="24" t="str">
        <f>HYPERLINK("https://znanium.ru/catalog/product/1946493", "Ознакомиться")</f>
        <v>Ознакомиться</v>
      </c>
      <c r="W2486" s="8" t="s">
        <v>491</v>
      </c>
      <c r="X2486" s="6"/>
      <c r="Y2486" s="6"/>
      <c r="Z2486" s="6"/>
      <c r="AA2486" s="6" t="s">
        <v>127</v>
      </c>
      <c r="AB2486" s="8"/>
    </row>
    <row r="2487" spans="1:28" s="4" customFormat="1" ht="42" customHeight="1">
      <c r="A2487" s="5">
        <v>0</v>
      </c>
      <c r="B2487" s="6" t="s">
        <v>14124</v>
      </c>
      <c r="C2487" s="7">
        <v>4028.4</v>
      </c>
      <c r="D2487" s="8" t="s">
        <v>14125</v>
      </c>
      <c r="E2487" s="8" t="s">
        <v>14126</v>
      </c>
      <c r="F2487" s="8" t="s">
        <v>14127</v>
      </c>
      <c r="G2487" s="6" t="s">
        <v>132</v>
      </c>
      <c r="H2487" s="6" t="s">
        <v>39</v>
      </c>
      <c r="I2487" s="8" t="s">
        <v>828</v>
      </c>
      <c r="J2487" s="9">
        <v>1</v>
      </c>
      <c r="K2487" s="9">
        <v>551</v>
      </c>
      <c r="L2487" s="9">
        <v>2025</v>
      </c>
      <c r="M2487" s="8" t="s">
        <v>14128</v>
      </c>
      <c r="N2487" s="8" t="s">
        <v>54</v>
      </c>
      <c r="O2487" s="8" t="s">
        <v>91</v>
      </c>
      <c r="P2487" s="6" t="s">
        <v>659</v>
      </c>
      <c r="Q2487" s="8" t="s">
        <v>45</v>
      </c>
      <c r="R2487" s="10" t="s">
        <v>14129</v>
      </c>
      <c r="S2487" s="11"/>
      <c r="T2487" s="6"/>
      <c r="U2487" s="24" t="str">
        <f>HYPERLINK("https://media.infra-m.ru/2196/2196495/cover/2196495.jpg", "Обложка")</f>
        <v>Обложка</v>
      </c>
      <c r="V2487" s="24" t="str">
        <f>HYPERLINK("https://znanium.ru/catalog/product/2107427", "Ознакомиться")</f>
        <v>Ознакомиться</v>
      </c>
      <c r="W2487" s="8" t="s">
        <v>4966</v>
      </c>
      <c r="X2487" s="6"/>
      <c r="Y2487" s="6"/>
      <c r="Z2487" s="6"/>
      <c r="AA2487" s="6" t="s">
        <v>369</v>
      </c>
      <c r="AB2487" s="8"/>
    </row>
    <row r="2488" spans="1:28" s="4" customFormat="1" ht="42" customHeight="1">
      <c r="A2488" s="5">
        <v>0</v>
      </c>
      <c r="B2488" s="6" t="s">
        <v>14130</v>
      </c>
      <c r="C2488" s="7">
        <v>1444.8</v>
      </c>
      <c r="D2488" s="8" t="s">
        <v>14131</v>
      </c>
      <c r="E2488" s="8" t="s">
        <v>14132</v>
      </c>
      <c r="F2488" s="8" t="s">
        <v>14133</v>
      </c>
      <c r="G2488" s="6" t="s">
        <v>81</v>
      </c>
      <c r="H2488" s="6" t="s">
        <v>99</v>
      </c>
      <c r="I2488" s="8"/>
      <c r="J2488" s="9">
        <v>1</v>
      </c>
      <c r="K2488" s="9">
        <v>240</v>
      </c>
      <c r="L2488" s="9">
        <v>2025</v>
      </c>
      <c r="M2488" s="8" t="s">
        <v>14134</v>
      </c>
      <c r="N2488" s="8" t="s">
        <v>42</v>
      </c>
      <c r="O2488" s="8" t="s">
        <v>101</v>
      </c>
      <c r="P2488" s="6" t="s">
        <v>44</v>
      </c>
      <c r="Q2488" s="8" t="s">
        <v>45</v>
      </c>
      <c r="R2488" s="10" t="s">
        <v>269</v>
      </c>
      <c r="S2488" s="11"/>
      <c r="T2488" s="6"/>
      <c r="U2488" s="24" t="str">
        <f>HYPERLINK("https://media.infra-m.ru/2184/2184383/cover/2184383.jpg", "Обложка")</f>
        <v>Обложка</v>
      </c>
      <c r="V2488" s="24" t="str">
        <f>HYPERLINK("https://znanium.ru/catalog/product/1975145", "Ознакомиться")</f>
        <v>Ознакомиться</v>
      </c>
      <c r="W2488" s="8" t="s">
        <v>565</v>
      </c>
      <c r="X2488" s="6"/>
      <c r="Y2488" s="6"/>
      <c r="Z2488" s="6"/>
      <c r="AA2488" s="6" t="s">
        <v>339</v>
      </c>
      <c r="AB2488" s="8"/>
    </row>
    <row r="2489" spans="1:28" s="4" customFormat="1" ht="42" customHeight="1">
      <c r="A2489" s="5">
        <v>0</v>
      </c>
      <c r="B2489" s="6" t="s">
        <v>14135</v>
      </c>
      <c r="C2489" s="7">
        <v>1012.8</v>
      </c>
      <c r="D2489" s="8" t="s">
        <v>14136</v>
      </c>
      <c r="E2489" s="8" t="s">
        <v>14137</v>
      </c>
      <c r="F2489" s="8" t="s">
        <v>14138</v>
      </c>
      <c r="G2489" s="6" t="s">
        <v>132</v>
      </c>
      <c r="H2489" s="6" t="s">
        <v>99</v>
      </c>
      <c r="I2489" s="8"/>
      <c r="J2489" s="9">
        <v>1</v>
      </c>
      <c r="K2489" s="9">
        <v>160</v>
      </c>
      <c r="L2489" s="9">
        <v>2025</v>
      </c>
      <c r="M2489" s="8" t="s">
        <v>14139</v>
      </c>
      <c r="N2489" s="8" t="s">
        <v>42</v>
      </c>
      <c r="O2489" s="8" t="s">
        <v>101</v>
      </c>
      <c r="P2489" s="6" t="s">
        <v>44</v>
      </c>
      <c r="Q2489" s="8" t="s">
        <v>45</v>
      </c>
      <c r="R2489" s="10" t="s">
        <v>14140</v>
      </c>
      <c r="S2489" s="11"/>
      <c r="T2489" s="6"/>
      <c r="U2489" s="24" t="str">
        <f>HYPERLINK("https://media.infra-m.ru/2192/2192437/cover/2192437.jpg", "Обложка")</f>
        <v>Обложка</v>
      </c>
      <c r="V2489" s="24" t="str">
        <f>HYPERLINK("https://znanium.ru/catalog/product/1958345", "Ознакомиться")</f>
        <v>Ознакомиться</v>
      </c>
      <c r="W2489" s="8" t="s">
        <v>2281</v>
      </c>
      <c r="X2489" s="6"/>
      <c r="Y2489" s="6"/>
      <c r="Z2489" s="6"/>
      <c r="AA2489" s="6" t="s">
        <v>725</v>
      </c>
      <c r="AB2489" s="8"/>
    </row>
    <row r="2490" spans="1:28" s="4" customFormat="1" ht="42" customHeight="1">
      <c r="A2490" s="5">
        <v>0</v>
      </c>
      <c r="B2490" s="6" t="s">
        <v>14141</v>
      </c>
      <c r="C2490" s="13">
        <v>948</v>
      </c>
      <c r="D2490" s="8" t="s">
        <v>14142</v>
      </c>
      <c r="E2490" s="8" t="s">
        <v>14143</v>
      </c>
      <c r="F2490" s="8" t="s">
        <v>14138</v>
      </c>
      <c r="G2490" s="6" t="s">
        <v>38</v>
      </c>
      <c r="H2490" s="6" t="s">
        <v>99</v>
      </c>
      <c r="I2490" s="8"/>
      <c r="J2490" s="9">
        <v>1</v>
      </c>
      <c r="K2490" s="9">
        <v>176</v>
      </c>
      <c r="L2490" s="9">
        <v>2023</v>
      </c>
      <c r="M2490" s="8" t="s">
        <v>14144</v>
      </c>
      <c r="N2490" s="8" t="s">
        <v>42</v>
      </c>
      <c r="O2490" s="8" t="s">
        <v>101</v>
      </c>
      <c r="P2490" s="6" t="s">
        <v>44</v>
      </c>
      <c r="Q2490" s="8" t="s">
        <v>45</v>
      </c>
      <c r="R2490" s="10" t="s">
        <v>14140</v>
      </c>
      <c r="S2490" s="11"/>
      <c r="T2490" s="6"/>
      <c r="U2490" s="24" t="str">
        <f>HYPERLINK("https://media.infra-m.ru/1912/1912169/cover/1912169.jpg", "Обложка")</f>
        <v>Обложка</v>
      </c>
      <c r="V2490" s="24" t="str">
        <f>HYPERLINK("https://znanium.ru/catalog/product/1958345", "Ознакомиться")</f>
        <v>Ознакомиться</v>
      </c>
      <c r="W2490" s="8" t="s">
        <v>2281</v>
      </c>
      <c r="X2490" s="6"/>
      <c r="Y2490" s="6"/>
      <c r="Z2490" s="6"/>
      <c r="AA2490" s="6" t="s">
        <v>290</v>
      </c>
      <c r="AB2490" s="8"/>
    </row>
    <row r="2491" spans="1:28" s="4" customFormat="1" ht="42" customHeight="1">
      <c r="A2491" s="5">
        <v>0</v>
      </c>
      <c r="B2491" s="6" t="s">
        <v>14145</v>
      </c>
      <c r="C2491" s="13">
        <v>780</v>
      </c>
      <c r="D2491" s="8" t="s">
        <v>14146</v>
      </c>
      <c r="E2491" s="8" t="s">
        <v>14147</v>
      </c>
      <c r="F2491" s="8" t="s">
        <v>8835</v>
      </c>
      <c r="G2491" s="6" t="s">
        <v>38</v>
      </c>
      <c r="H2491" s="6" t="s">
        <v>39</v>
      </c>
      <c r="I2491" s="8" t="s">
        <v>40</v>
      </c>
      <c r="J2491" s="9">
        <v>1</v>
      </c>
      <c r="K2491" s="9">
        <v>177</v>
      </c>
      <c r="L2491" s="9">
        <v>2021</v>
      </c>
      <c r="M2491" s="8" t="s">
        <v>14148</v>
      </c>
      <c r="N2491" s="8" t="s">
        <v>42</v>
      </c>
      <c r="O2491" s="8" t="s">
        <v>101</v>
      </c>
      <c r="P2491" s="6" t="s">
        <v>44</v>
      </c>
      <c r="Q2491" s="8" t="s">
        <v>45</v>
      </c>
      <c r="R2491" s="10" t="s">
        <v>874</v>
      </c>
      <c r="S2491" s="11"/>
      <c r="T2491" s="6"/>
      <c r="U2491" s="24" t="str">
        <f>HYPERLINK("https://media.infra-m.ru/1209/1209849/cover/1209849.jpg", "Обложка")</f>
        <v>Обложка</v>
      </c>
      <c r="V2491" s="24" t="str">
        <f>HYPERLINK("https://znanium.ru/catalog/product/1209849", "Ознакомиться")</f>
        <v>Ознакомиться</v>
      </c>
      <c r="W2491" s="8" t="s">
        <v>8838</v>
      </c>
      <c r="X2491" s="6"/>
      <c r="Y2491" s="6"/>
      <c r="Z2491" s="6"/>
      <c r="AA2491" s="6" t="s">
        <v>68</v>
      </c>
      <c r="AB2491" s="8"/>
    </row>
    <row r="2492" spans="1:28" s="4" customFormat="1" ht="44.1" customHeight="1">
      <c r="A2492" s="5">
        <v>0</v>
      </c>
      <c r="B2492" s="6" t="s">
        <v>14149</v>
      </c>
      <c r="C2492" s="7">
        <v>1025.9000000000001</v>
      </c>
      <c r="D2492" s="8" t="s">
        <v>14150</v>
      </c>
      <c r="E2492" s="8" t="s">
        <v>14151</v>
      </c>
      <c r="F2492" s="8" t="s">
        <v>14152</v>
      </c>
      <c r="G2492" s="6" t="s">
        <v>38</v>
      </c>
      <c r="H2492" s="6" t="s">
        <v>99</v>
      </c>
      <c r="I2492" s="8"/>
      <c r="J2492" s="9">
        <v>1</v>
      </c>
      <c r="K2492" s="9">
        <v>224</v>
      </c>
      <c r="L2492" s="9">
        <v>2022</v>
      </c>
      <c r="M2492" s="8" t="s">
        <v>14153</v>
      </c>
      <c r="N2492" s="8" t="s">
        <v>42</v>
      </c>
      <c r="O2492" s="8" t="s">
        <v>101</v>
      </c>
      <c r="P2492" s="6" t="s">
        <v>44</v>
      </c>
      <c r="Q2492" s="8" t="s">
        <v>1152</v>
      </c>
      <c r="R2492" s="10" t="s">
        <v>14140</v>
      </c>
      <c r="S2492" s="11"/>
      <c r="T2492" s="6"/>
      <c r="U2492" s="24" t="str">
        <f>HYPERLINK("https://media.infra-m.ru/1425/1425536/cover/1425536.jpg", "Обложка")</f>
        <v>Обложка</v>
      </c>
      <c r="V2492" s="24" t="str">
        <f>HYPERLINK("https://znanium.ru/catalog/product/1425536", "Ознакомиться")</f>
        <v>Ознакомиться</v>
      </c>
      <c r="W2492" s="8" t="s">
        <v>418</v>
      </c>
      <c r="X2492" s="6"/>
      <c r="Y2492" s="6"/>
      <c r="Z2492" s="6"/>
      <c r="AA2492" s="6" t="s">
        <v>339</v>
      </c>
      <c r="AB2492" s="8"/>
    </row>
    <row r="2493" spans="1:28" s="4" customFormat="1" ht="42" customHeight="1">
      <c r="A2493" s="5">
        <v>0</v>
      </c>
      <c r="B2493" s="6" t="s">
        <v>14154</v>
      </c>
      <c r="C2493" s="13">
        <v>410.3</v>
      </c>
      <c r="D2493" s="8" t="s">
        <v>14155</v>
      </c>
      <c r="E2493" s="8" t="s">
        <v>14156</v>
      </c>
      <c r="F2493" s="8" t="s">
        <v>14157</v>
      </c>
      <c r="G2493" s="6" t="s">
        <v>38</v>
      </c>
      <c r="H2493" s="6" t="s">
        <v>39</v>
      </c>
      <c r="I2493" s="8" t="s">
        <v>40</v>
      </c>
      <c r="J2493" s="9">
        <v>1</v>
      </c>
      <c r="K2493" s="9">
        <v>195</v>
      </c>
      <c r="L2493" s="9">
        <v>2019</v>
      </c>
      <c r="M2493" s="8" t="s">
        <v>14158</v>
      </c>
      <c r="N2493" s="8" t="s">
        <v>54</v>
      </c>
      <c r="O2493" s="8" t="s">
        <v>91</v>
      </c>
      <c r="P2493" s="6" t="s">
        <v>44</v>
      </c>
      <c r="Q2493" s="8" t="s">
        <v>45</v>
      </c>
      <c r="R2493" s="10" t="s">
        <v>3055</v>
      </c>
      <c r="S2493" s="11"/>
      <c r="T2493" s="6"/>
      <c r="U2493" s="24" t="str">
        <f>HYPERLINK("https://media.infra-m.ru/1020/1020523/cover/1020523.jpg", "Обложка")</f>
        <v>Обложка</v>
      </c>
      <c r="V2493" s="24" t="str">
        <f>HYPERLINK("https://znanium.ru/catalog/product/1020523", "Ознакомиться")</f>
        <v>Ознакомиться</v>
      </c>
      <c r="W2493" s="8" t="s">
        <v>191</v>
      </c>
      <c r="X2493" s="6"/>
      <c r="Y2493" s="6"/>
      <c r="Z2493" s="6"/>
      <c r="AA2493" s="6" t="s">
        <v>76</v>
      </c>
      <c r="AB2493" s="8"/>
    </row>
    <row r="2494" spans="1:28" s="4" customFormat="1" ht="42" customHeight="1">
      <c r="A2494" s="5">
        <v>0</v>
      </c>
      <c r="B2494" s="6" t="s">
        <v>14159</v>
      </c>
      <c r="C2494" s="13">
        <v>468</v>
      </c>
      <c r="D2494" s="8" t="s">
        <v>14160</v>
      </c>
      <c r="E2494" s="8" t="s">
        <v>14161</v>
      </c>
      <c r="F2494" s="8" t="s">
        <v>14162</v>
      </c>
      <c r="G2494" s="6" t="s">
        <v>38</v>
      </c>
      <c r="H2494" s="6" t="s">
        <v>39</v>
      </c>
      <c r="I2494" s="8" t="s">
        <v>14163</v>
      </c>
      <c r="J2494" s="9">
        <v>1</v>
      </c>
      <c r="K2494" s="9">
        <v>113</v>
      </c>
      <c r="L2494" s="9">
        <v>2018</v>
      </c>
      <c r="M2494" s="8" t="s">
        <v>14164</v>
      </c>
      <c r="N2494" s="8" t="s">
        <v>54</v>
      </c>
      <c r="O2494" s="8" t="s">
        <v>91</v>
      </c>
      <c r="P2494" s="6" t="s">
        <v>44</v>
      </c>
      <c r="Q2494" s="8" t="s">
        <v>45</v>
      </c>
      <c r="R2494" s="10" t="s">
        <v>4965</v>
      </c>
      <c r="S2494" s="11"/>
      <c r="T2494" s="6"/>
      <c r="U2494" s="24" t="str">
        <f>HYPERLINK("https://media.infra-m.ru/0951/0951404/cover/951404.jpg", "Обложка")</f>
        <v>Обложка</v>
      </c>
      <c r="V2494" s="24" t="str">
        <f>HYPERLINK("https://znanium.ru/catalog/product/2142537", "Ознакомиться")</f>
        <v>Ознакомиться</v>
      </c>
      <c r="W2494" s="8" t="s">
        <v>1633</v>
      </c>
      <c r="X2494" s="6"/>
      <c r="Y2494" s="6"/>
      <c r="Z2494" s="6"/>
      <c r="AA2494" s="6" t="s">
        <v>68</v>
      </c>
      <c r="AB2494" s="8"/>
    </row>
    <row r="2495" spans="1:28" s="4" customFormat="1" ht="51.95" customHeight="1">
      <c r="A2495" s="5">
        <v>0</v>
      </c>
      <c r="B2495" s="6" t="s">
        <v>14165</v>
      </c>
      <c r="C2495" s="7">
        <v>1540.8</v>
      </c>
      <c r="D2495" s="8" t="s">
        <v>14166</v>
      </c>
      <c r="E2495" s="8" t="s">
        <v>14167</v>
      </c>
      <c r="F2495" s="8" t="s">
        <v>6358</v>
      </c>
      <c r="G2495" s="6" t="s">
        <v>81</v>
      </c>
      <c r="H2495" s="6" t="s">
        <v>39</v>
      </c>
      <c r="I2495" s="8" t="s">
        <v>40</v>
      </c>
      <c r="J2495" s="9">
        <v>1</v>
      </c>
      <c r="K2495" s="9">
        <v>279</v>
      </c>
      <c r="L2495" s="9">
        <v>2024</v>
      </c>
      <c r="M2495" s="8" t="s">
        <v>14168</v>
      </c>
      <c r="N2495" s="8" t="s">
        <v>42</v>
      </c>
      <c r="O2495" s="8" t="s">
        <v>65</v>
      </c>
      <c r="P2495" s="6" t="s">
        <v>44</v>
      </c>
      <c r="Q2495" s="8" t="s">
        <v>45</v>
      </c>
      <c r="R2495" s="10" t="s">
        <v>14169</v>
      </c>
      <c r="S2495" s="11"/>
      <c r="T2495" s="6"/>
      <c r="U2495" s="24" t="str">
        <f>HYPERLINK("https://media.infra-m.ru/2102/2102717/cover/2102717.jpg", "Обложка")</f>
        <v>Обложка</v>
      </c>
      <c r="V2495" s="24" t="str">
        <f>HYPERLINK("https://znanium.ru/catalog/product/1069182", "Ознакомиться")</f>
        <v>Ознакомиться</v>
      </c>
      <c r="W2495" s="8" t="s">
        <v>305</v>
      </c>
      <c r="X2495" s="6"/>
      <c r="Y2495" s="6"/>
      <c r="Z2495" s="6"/>
      <c r="AA2495" s="6" t="s">
        <v>339</v>
      </c>
      <c r="AB2495" s="8"/>
    </row>
    <row r="2496" spans="1:28" s="4" customFormat="1" ht="44.1" customHeight="1">
      <c r="A2496" s="5">
        <v>0</v>
      </c>
      <c r="B2496" s="6" t="s">
        <v>14170</v>
      </c>
      <c r="C2496" s="7">
        <v>3172.8</v>
      </c>
      <c r="D2496" s="8" t="s">
        <v>14171</v>
      </c>
      <c r="E2496" s="8" t="s">
        <v>14172</v>
      </c>
      <c r="F2496" s="8" t="s">
        <v>14173</v>
      </c>
      <c r="G2496" s="6" t="s">
        <v>132</v>
      </c>
      <c r="H2496" s="6" t="s">
        <v>99</v>
      </c>
      <c r="I2496" s="8"/>
      <c r="J2496" s="9">
        <v>1</v>
      </c>
      <c r="K2496" s="9">
        <v>472</v>
      </c>
      <c r="L2496" s="9">
        <v>2025</v>
      </c>
      <c r="M2496" s="8" t="s">
        <v>14174</v>
      </c>
      <c r="N2496" s="8" t="s">
        <v>42</v>
      </c>
      <c r="O2496" s="8" t="s">
        <v>101</v>
      </c>
      <c r="P2496" s="6" t="s">
        <v>44</v>
      </c>
      <c r="Q2496" s="8"/>
      <c r="R2496" s="10" t="s">
        <v>14175</v>
      </c>
      <c r="S2496" s="11"/>
      <c r="T2496" s="6"/>
      <c r="U2496" s="24" t="str">
        <f>HYPERLINK("https://media.infra-m.ru/2231/2231453/cover/2231453.jpg", "Обложка")</f>
        <v>Обложка</v>
      </c>
      <c r="V2496" s="24" t="str">
        <f>HYPERLINK("https://znanium.ru/catalog/product/2204937", "Ознакомиться")</f>
        <v>Ознакомиться</v>
      </c>
      <c r="W2496" s="8"/>
      <c r="X2496" s="6"/>
      <c r="Y2496" s="6"/>
      <c r="Z2496" s="6"/>
      <c r="AA2496" s="6" t="s">
        <v>58</v>
      </c>
      <c r="AB2496" s="8"/>
    </row>
    <row r="2497" spans="1:28" s="4" customFormat="1" ht="51.95" customHeight="1">
      <c r="A2497" s="5">
        <v>0</v>
      </c>
      <c r="B2497" s="6" t="s">
        <v>14176</v>
      </c>
      <c r="C2497" s="13">
        <v>796.8</v>
      </c>
      <c r="D2497" s="8" t="s">
        <v>14177</v>
      </c>
      <c r="E2497" s="8" t="s">
        <v>14178</v>
      </c>
      <c r="F2497" s="8" t="s">
        <v>11395</v>
      </c>
      <c r="G2497" s="6" t="s">
        <v>132</v>
      </c>
      <c r="H2497" s="6" t="s">
        <v>99</v>
      </c>
      <c r="I2497" s="8"/>
      <c r="J2497" s="9">
        <v>1</v>
      </c>
      <c r="K2497" s="9">
        <v>128</v>
      </c>
      <c r="L2497" s="9">
        <v>2025</v>
      </c>
      <c r="M2497" s="8" t="s">
        <v>14179</v>
      </c>
      <c r="N2497" s="8" t="s">
        <v>42</v>
      </c>
      <c r="O2497" s="8" t="s">
        <v>101</v>
      </c>
      <c r="P2497" s="6" t="s">
        <v>44</v>
      </c>
      <c r="Q2497" s="8" t="s">
        <v>45</v>
      </c>
      <c r="R2497" s="10" t="s">
        <v>10791</v>
      </c>
      <c r="S2497" s="11"/>
      <c r="T2497" s="6"/>
      <c r="U2497" s="24" t="str">
        <f>HYPERLINK("https://media.infra-m.ru/2204/2204050/cover/2204050.jpg", "Обложка")</f>
        <v>Обложка</v>
      </c>
      <c r="V2497" s="24" t="str">
        <f>HYPERLINK("https://znanium.ru/catalog/product/1178770", "Ознакомиться")</f>
        <v>Ознакомиться</v>
      </c>
      <c r="W2497" s="8" t="s">
        <v>2138</v>
      </c>
      <c r="X2497" s="6"/>
      <c r="Y2497" s="6"/>
      <c r="Z2497" s="6"/>
      <c r="AA2497" s="6" t="s">
        <v>199</v>
      </c>
      <c r="AB2497" s="8"/>
    </row>
    <row r="2498" spans="1:28" s="4" customFormat="1" ht="51.95" customHeight="1">
      <c r="A2498" s="5">
        <v>0</v>
      </c>
      <c r="B2498" s="6" t="s">
        <v>14180</v>
      </c>
      <c r="C2498" s="7">
        <v>2388</v>
      </c>
      <c r="D2498" s="8" t="s">
        <v>14181</v>
      </c>
      <c r="E2498" s="8" t="s">
        <v>14182</v>
      </c>
      <c r="F2498" s="8" t="s">
        <v>14183</v>
      </c>
      <c r="G2498" s="6" t="s">
        <v>132</v>
      </c>
      <c r="H2498" s="6" t="s">
        <v>99</v>
      </c>
      <c r="I2498" s="8"/>
      <c r="J2498" s="9">
        <v>1</v>
      </c>
      <c r="K2498" s="9">
        <v>424</v>
      </c>
      <c r="L2498" s="9">
        <v>2024</v>
      </c>
      <c r="M2498" s="8" t="s">
        <v>14184</v>
      </c>
      <c r="N2498" s="8" t="s">
        <v>42</v>
      </c>
      <c r="O2498" s="8" t="s">
        <v>101</v>
      </c>
      <c r="P2498" s="6" t="s">
        <v>44</v>
      </c>
      <c r="Q2498" s="8" t="s">
        <v>45</v>
      </c>
      <c r="R2498" s="10" t="s">
        <v>14185</v>
      </c>
      <c r="S2498" s="11"/>
      <c r="T2498" s="6"/>
      <c r="U2498" s="24" t="str">
        <f>HYPERLINK("https://media.infra-m.ru/2141/2141646/cover/2141646.jpg", "Обложка")</f>
        <v>Обложка</v>
      </c>
      <c r="V2498" s="24" t="str">
        <f>HYPERLINK("https://znanium.ru/catalog/product/2141646", "Ознакомиться")</f>
        <v>Ознакомиться</v>
      </c>
      <c r="W2498" s="8" t="s">
        <v>846</v>
      </c>
      <c r="X2498" s="6"/>
      <c r="Y2498" s="6"/>
      <c r="Z2498" s="6"/>
      <c r="AA2498" s="6" t="s">
        <v>76</v>
      </c>
      <c r="AB2498" s="8"/>
    </row>
    <row r="2499" spans="1:28" s="4" customFormat="1" ht="42" customHeight="1">
      <c r="A2499" s="5">
        <v>0</v>
      </c>
      <c r="B2499" s="6" t="s">
        <v>14186</v>
      </c>
      <c r="C2499" s="7">
        <v>1128</v>
      </c>
      <c r="D2499" s="8" t="s">
        <v>14187</v>
      </c>
      <c r="E2499" s="8" t="s">
        <v>14188</v>
      </c>
      <c r="F2499" s="8" t="s">
        <v>14189</v>
      </c>
      <c r="G2499" s="6" t="s">
        <v>38</v>
      </c>
      <c r="H2499" s="6" t="s">
        <v>39</v>
      </c>
      <c r="I2499" s="8" t="s">
        <v>40</v>
      </c>
      <c r="J2499" s="9">
        <v>1</v>
      </c>
      <c r="K2499" s="9">
        <v>203</v>
      </c>
      <c r="L2499" s="9">
        <v>2024</v>
      </c>
      <c r="M2499" s="8" t="s">
        <v>14190</v>
      </c>
      <c r="N2499" s="8" t="s">
        <v>54</v>
      </c>
      <c r="O2499" s="8" t="s">
        <v>91</v>
      </c>
      <c r="P2499" s="6" t="s">
        <v>44</v>
      </c>
      <c r="Q2499" s="8" t="s">
        <v>45</v>
      </c>
      <c r="R2499" s="10" t="s">
        <v>14191</v>
      </c>
      <c r="S2499" s="11"/>
      <c r="T2499" s="6"/>
      <c r="U2499" s="24" t="str">
        <f>HYPERLINK("https://media.infra-m.ru/2054/2054116/cover/2054116.jpg", "Обложка")</f>
        <v>Обложка</v>
      </c>
      <c r="V2499" s="24" t="str">
        <f>HYPERLINK("https://znanium.ru/catalog/product/2054116", "Ознакомиться")</f>
        <v>Ознакомиться</v>
      </c>
      <c r="W2499" s="8" t="s">
        <v>516</v>
      </c>
      <c r="X2499" s="6"/>
      <c r="Y2499" s="6"/>
      <c r="Z2499" s="6"/>
      <c r="AA2499" s="6" t="s">
        <v>199</v>
      </c>
      <c r="AB2499" s="8"/>
    </row>
    <row r="2500" spans="1:28" s="4" customFormat="1" ht="42" customHeight="1">
      <c r="A2500" s="5">
        <v>0</v>
      </c>
      <c r="B2500" s="6" t="s">
        <v>14192</v>
      </c>
      <c r="C2500" s="7">
        <v>1277.9000000000001</v>
      </c>
      <c r="D2500" s="8" t="s">
        <v>14193</v>
      </c>
      <c r="E2500" s="8" t="s">
        <v>14194</v>
      </c>
      <c r="F2500" s="8" t="s">
        <v>14195</v>
      </c>
      <c r="G2500" s="6" t="s">
        <v>132</v>
      </c>
      <c r="H2500" s="6" t="s">
        <v>571</v>
      </c>
      <c r="I2500" s="8"/>
      <c r="J2500" s="9">
        <v>1</v>
      </c>
      <c r="K2500" s="9">
        <v>272</v>
      </c>
      <c r="L2500" s="9">
        <v>2022</v>
      </c>
      <c r="M2500" s="8" t="s">
        <v>14196</v>
      </c>
      <c r="N2500" s="8" t="s">
        <v>42</v>
      </c>
      <c r="O2500" s="8" t="s">
        <v>189</v>
      </c>
      <c r="P2500" s="6" t="s">
        <v>44</v>
      </c>
      <c r="Q2500" s="8" t="s">
        <v>45</v>
      </c>
      <c r="R2500" s="10" t="s">
        <v>3755</v>
      </c>
      <c r="S2500" s="11"/>
      <c r="T2500" s="6"/>
      <c r="U2500" s="24" t="str">
        <f>HYPERLINK("https://media.infra-m.ru/1844/1844302/cover/1844302.jpg", "Обложка")</f>
        <v>Обложка</v>
      </c>
      <c r="V2500" s="24" t="str">
        <f>HYPERLINK("https://znanium.ru/catalog/product/1844302", "Ознакомиться")</f>
        <v>Ознакомиться</v>
      </c>
      <c r="W2500" s="8" t="s">
        <v>574</v>
      </c>
      <c r="X2500" s="6"/>
      <c r="Y2500" s="6"/>
      <c r="Z2500" s="6"/>
      <c r="AA2500" s="6" t="s">
        <v>127</v>
      </c>
      <c r="AB2500" s="8"/>
    </row>
    <row r="2501" spans="1:28" s="4" customFormat="1" ht="51.95" customHeight="1">
      <c r="A2501" s="5">
        <v>0</v>
      </c>
      <c r="B2501" s="6" t="s">
        <v>14197</v>
      </c>
      <c r="C2501" s="13">
        <v>528</v>
      </c>
      <c r="D2501" s="8" t="s">
        <v>14198</v>
      </c>
      <c r="E2501" s="8" t="s">
        <v>14199</v>
      </c>
      <c r="F2501" s="8" t="s">
        <v>3889</v>
      </c>
      <c r="G2501" s="6" t="s">
        <v>38</v>
      </c>
      <c r="H2501" s="6" t="s">
        <v>39</v>
      </c>
      <c r="I2501" s="8" t="s">
        <v>40</v>
      </c>
      <c r="J2501" s="9">
        <v>24</v>
      </c>
      <c r="K2501" s="9">
        <v>140</v>
      </c>
      <c r="L2501" s="9">
        <v>2016</v>
      </c>
      <c r="M2501" s="8" t="s">
        <v>14200</v>
      </c>
      <c r="N2501" s="8" t="s">
        <v>54</v>
      </c>
      <c r="O2501" s="8" t="s">
        <v>91</v>
      </c>
      <c r="P2501" s="6" t="s">
        <v>44</v>
      </c>
      <c r="Q2501" s="8" t="s">
        <v>45</v>
      </c>
      <c r="R2501" s="10" t="s">
        <v>14201</v>
      </c>
      <c r="S2501" s="11"/>
      <c r="T2501" s="6"/>
      <c r="U2501" s="24" t="str">
        <f>HYPERLINK("https://media.infra-m.ru/0557/0557011/cover/557011.jpg", "Обложка")</f>
        <v>Обложка</v>
      </c>
      <c r="V2501" s="24" t="str">
        <f>HYPERLINK("https://znanium.ru/catalog/product/2120737", "Ознакомиться")</f>
        <v>Ознакомиться</v>
      </c>
      <c r="W2501" s="8" t="s">
        <v>305</v>
      </c>
      <c r="X2501" s="6"/>
      <c r="Y2501" s="6"/>
      <c r="Z2501" s="6"/>
      <c r="AA2501" s="6" t="s">
        <v>48</v>
      </c>
      <c r="AB2501" s="8"/>
    </row>
    <row r="2502" spans="1:28" s="4" customFormat="1" ht="51.95" customHeight="1">
      <c r="A2502" s="5">
        <v>0</v>
      </c>
      <c r="B2502" s="6" t="s">
        <v>14202</v>
      </c>
      <c r="C2502" s="13">
        <v>936</v>
      </c>
      <c r="D2502" s="8" t="s">
        <v>14203</v>
      </c>
      <c r="E2502" s="8" t="s">
        <v>14204</v>
      </c>
      <c r="F2502" s="8" t="s">
        <v>3889</v>
      </c>
      <c r="G2502" s="6" t="s">
        <v>38</v>
      </c>
      <c r="H2502" s="6" t="s">
        <v>39</v>
      </c>
      <c r="I2502" s="8" t="s">
        <v>40</v>
      </c>
      <c r="J2502" s="9">
        <v>1</v>
      </c>
      <c r="K2502" s="9">
        <v>154</v>
      </c>
      <c r="L2502" s="9">
        <v>2025</v>
      </c>
      <c r="M2502" s="8" t="s">
        <v>14205</v>
      </c>
      <c r="N2502" s="8" t="s">
        <v>54</v>
      </c>
      <c r="O2502" s="8" t="s">
        <v>91</v>
      </c>
      <c r="P2502" s="6" t="s">
        <v>44</v>
      </c>
      <c r="Q2502" s="8" t="s">
        <v>45</v>
      </c>
      <c r="R2502" s="10" t="s">
        <v>14201</v>
      </c>
      <c r="S2502" s="11"/>
      <c r="T2502" s="6"/>
      <c r="U2502" s="24" t="str">
        <f>HYPERLINK("https://media.infra-m.ru/2120/2120737/cover/2120737.jpg", "Обложка")</f>
        <v>Обложка</v>
      </c>
      <c r="V2502" s="24" t="str">
        <f>HYPERLINK("https://znanium.ru/catalog/product/2120737", "Ознакомиться")</f>
        <v>Ознакомиться</v>
      </c>
      <c r="W2502" s="8" t="s">
        <v>305</v>
      </c>
      <c r="X2502" s="6"/>
      <c r="Y2502" s="6"/>
      <c r="Z2502" s="6"/>
      <c r="AA2502" s="6" t="s">
        <v>892</v>
      </c>
      <c r="AB2502" s="8"/>
    </row>
    <row r="2503" spans="1:28" s="4" customFormat="1" ht="51.95" customHeight="1">
      <c r="A2503" s="5">
        <v>0</v>
      </c>
      <c r="B2503" s="6" t="s">
        <v>14206</v>
      </c>
      <c r="C2503" s="7">
        <v>1684.8</v>
      </c>
      <c r="D2503" s="8" t="s">
        <v>14207</v>
      </c>
      <c r="E2503" s="8" t="s">
        <v>14208</v>
      </c>
      <c r="F2503" s="8" t="s">
        <v>14209</v>
      </c>
      <c r="G2503" s="6" t="s">
        <v>38</v>
      </c>
      <c r="H2503" s="6" t="s">
        <v>1019</v>
      </c>
      <c r="I2503" s="8" t="s">
        <v>1020</v>
      </c>
      <c r="J2503" s="9">
        <v>1</v>
      </c>
      <c r="K2503" s="9">
        <v>311</v>
      </c>
      <c r="L2503" s="9">
        <v>2023</v>
      </c>
      <c r="M2503" s="8" t="s">
        <v>14210</v>
      </c>
      <c r="N2503" s="8" t="s">
        <v>54</v>
      </c>
      <c r="O2503" s="8" t="s">
        <v>91</v>
      </c>
      <c r="P2503" s="6" t="s">
        <v>44</v>
      </c>
      <c r="Q2503" s="8" t="s">
        <v>45</v>
      </c>
      <c r="R2503" s="10" t="s">
        <v>92</v>
      </c>
      <c r="S2503" s="11"/>
      <c r="T2503" s="6"/>
      <c r="U2503" s="24" t="str">
        <f>HYPERLINK("https://media.infra-m.ru/1981/1981662/cover/1981662.jpg", "Обложка")</f>
        <v>Обложка</v>
      </c>
      <c r="V2503" s="24" t="str">
        <f>HYPERLINK("https://znanium.ru/catalog/product/1861348", "Ознакомиться")</f>
        <v>Ознакомиться</v>
      </c>
      <c r="W2503" s="8" t="s">
        <v>167</v>
      </c>
      <c r="X2503" s="6"/>
      <c r="Y2503" s="6"/>
      <c r="Z2503" s="6"/>
      <c r="AA2503" s="6" t="s">
        <v>290</v>
      </c>
      <c r="AB2503" s="8"/>
    </row>
    <row r="2504" spans="1:28" s="4" customFormat="1" ht="51.95" customHeight="1">
      <c r="A2504" s="5">
        <v>0</v>
      </c>
      <c r="B2504" s="6" t="s">
        <v>14211</v>
      </c>
      <c r="C2504" s="7">
        <v>2220</v>
      </c>
      <c r="D2504" s="8" t="s">
        <v>14212</v>
      </c>
      <c r="E2504" s="8" t="s">
        <v>14213</v>
      </c>
      <c r="F2504" s="8" t="s">
        <v>195</v>
      </c>
      <c r="G2504" s="6" t="s">
        <v>132</v>
      </c>
      <c r="H2504" s="6" t="s">
        <v>39</v>
      </c>
      <c r="I2504" s="8" t="s">
        <v>40</v>
      </c>
      <c r="J2504" s="9">
        <v>1</v>
      </c>
      <c r="K2504" s="9">
        <v>353</v>
      </c>
      <c r="L2504" s="9">
        <v>2025</v>
      </c>
      <c r="M2504" s="8" t="s">
        <v>14214</v>
      </c>
      <c r="N2504" s="8" t="s">
        <v>54</v>
      </c>
      <c r="O2504" s="8" t="s">
        <v>91</v>
      </c>
      <c r="P2504" s="6" t="s">
        <v>44</v>
      </c>
      <c r="Q2504" s="8" t="s">
        <v>45</v>
      </c>
      <c r="R2504" s="10" t="s">
        <v>14215</v>
      </c>
      <c r="S2504" s="11"/>
      <c r="T2504" s="6"/>
      <c r="U2504" s="24" t="str">
        <f>HYPERLINK("https://media.infra-m.ru/2180/2180376/cover/2180376.jpg", "Обложка")</f>
        <v>Обложка</v>
      </c>
      <c r="V2504" s="24" t="str">
        <f>HYPERLINK("https://znanium.ru/catalog/product/2180376", "Ознакомиться")</f>
        <v>Ознакомиться</v>
      </c>
      <c r="W2504" s="8" t="s">
        <v>198</v>
      </c>
      <c r="X2504" s="6" t="s">
        <v>320</v>
      </c>
      <c r="Y2504" s="6"/>
      <c r="Z2504" s="6"/>
      <c r="AA2504" s="6" t="s">
        <v>159</v>
      </c>
      <c r="AB2504" s="8"/>
    </row>
    <row r="2505" spans="1:28" s="4" customFormat="1" ht="51.95" customHeight="1">
      <c r="A2505" s="5">
        <v>0</v>
      </c>
      <c r="B2505" s="6" t="s">
        <v>14216</v>
      </c>
      <c r="C2505" s="7">
        <v>2092.8000000000002</v>
      </c>
      <c r="D2505" s="8" t="s">
        <v>14217</v>
      </c>
      <c r="E2505" s="8" t="s">
        <v>14218</v>
      </c>
      <c r="F2505" s="8" t="s">
        <v>6053</v>
      </c>
      <c r="G2505" s="6" t="s">
        <v>81</v>
      </c>
      <c r="H2505" s="6" t="s">
        <v>99</v>
      </c>
      <c r="I2505" s="8"/>
      <c r="J2505" s="9">
        <v>1</v>
      </c>
      <c r="K2505" s="9">
        <v>336</v>
      </c>
      <c r="L2505" s="9">
        <v>2026</v>
      </c>
      <c r="M2505" s="8" t="s">
        <v>14219</v>
      </c>
      <c r="N2505" s="8" t="s">
        <v>42</v>
      </c>
      <c r="O2505" s="8" t="s">
        <v>65</v>
      </c>
      <c r="P2505" s="6" t="s">
        <v>44</v>
      </c>
      <c r="Q2505" s="8" t="s">
        <v>45</v>
      </c>
      <c r="R2505" s="10" t="s">
        <v>14220</v>
      </c>
      <c r="S2505" s="11"/>
      <c r="T2505" s="6"/>
      <c r="U2505" s="24" t="str">
        <f>HYPERLINK("https://media.infra-m.ru/2221/2221072/cover/2221072.jpg", "Обложка")</f>
        <v>Обложка</v>
      </c>
      <c r="V2505" s="24" t="str">
        <f>HYPERLINK("https://znanium.ru/catalog/product/1875438", "Ознакомиться")</f>
        <v>Ознакомиться</v>
      </c>
      <c r="W2505" s="8" t="s">
        <v>6056</v>
      </c>
      <c r="X2505" s="6"/>
      <c r="Y2505" s="6"/>
      <c r="Z2505" s="6"/>
      <c r="AA2505" s="6" t="s">
        <v>76</v>
      </c>
      <c r="AB2505" s="8"/>
    </row>
    <row r="2506" spans="1:28" s="4" customFormat="1" ht="42" customHeight="1">
      <c r="A2506" s="5">
        <v>0</v>
      </c>
      <c r="B2506" s="6" t="s">
        <v>14221</v>
      </c>
      <c r="C2506" s="7">
        <v>1320</v>
      </c>
      <c r="D2506" s="8" t="s">
        <v>14222</v>
      </c>
      <c r="E2506" s="8" t="s">
        <v>14223</v>
      </c>
      <c r="F2506" s="8" t="s">
        <v>14224</v>
      </c>
      <c r="G2506" s="6" t="s">
        <v>38</v>
      </c>
      <c r="H2506" s="6" t="s">
        <v>39</v>
      </c>
      <c r="I2506" s="8" t="s">
        <v>40</v>
      </c>
      <c r="J2506" s="9">
        <v>1</v>
      </c>
      <c r="K2506" s="9">
        <v>262</v>
      </c>
      <c r="L2506" s="9">
        <v>2022</v>
      </c>
      <c r="M2506" s="8" t="s">
        <v>14225</v>
      </c>
      <c r="N2506" s="8" t="s">
        <v>54</v>
      </c>
      <c r="O2506" s="8" t="s">
        <v>91</v>
      </c>
      <c r="P2506" s="6" t="s">
        <v>44</v>
      </c>
      <c r="Q2506" s="8" t="s">
        <v>45</v>
      </c>
      <c r="R2506" s="10" t="s">
        <v>197</v>
      </c>
      <c r="S2506" s="11"/>
      <c r="T2506" s="6"/>
      <c r="U2506" s="24" t="str">
        <f>HYPERLINK("https://media.infra-m.ru/1864/1864984/cover/1864984.jpg", "Обложка")</f>
        <v>Обложка</v>
      </c>
      <c r="V2506" s="24" t="str">
        <f>HYPERLINK("https://znanium.ru/catalog/product/1864984", "Ознакомиться")</f>
        <v>Ознакомиться</v>
      </c>
      <c r="W2506" s="8" t="s">
        <v>2872</v>
      </c>
      <c r="X2506" s="6"/>
      <c r="Y2506" s="6"/>
      <c r="Z2506" s="6"/>
      <c r="AA2506" s="6" t="s">
        <v>76</v>
      </c>
      <c r="AB2506" s="8"/>
    </row>
    <row r="2507" spans="1:28" s="4" customFormat="1" ht="51.95" customHeight="1">
      <c r="A2507" s="5">
        <v>0</v>
      </c>
      <c r="B2507" s="6" t="s">
        <v>14226</v>
      </c>
      <c r="C2507" s="7">
        <v>2980.8</v>
      </c>
      <c r="D2507" s="8" t="s">
        <v>14227</v>
      </c>
      <c r="E2507" s="8" t="s">
        <v>14228</v>
      </c>
      <c r="F2507" s="8" t="s">
        <v>6053</v>
      </c>
      <c r="G2507" s="6" t="s">
        <v>132</v>
      </c>
      <c r="H2507" s="6" t="s">
        <v>99</v>
      </c>
      <c r="I2507" s="8"/>
      <c r="J2507" s="9">
        <v>1</v>
      </c>
      <c r="K2507" s="9">
        <v>472</v>
      </c>
      <c r="L2507" s="9">
        <v>2026</v>
      </c>
      <c r="M2507" s="8" t="s">
        <v>14229</v>
      </c>
      <c r="N2507" s="8" t="s">
        <v>42</v>
      </c>
      <c r="O2507" s="8" t="s">
        <v>101</v>
      </c>
      <c r="P2507" s="6" t="s">
        <v>44</v>
      </c>
      <c r="Q2507" s="8" t="s">
        <v>45</v>
      </c>
      <c r="R2507" s="10" t="s">
        <v>7198</v>
      </c>
      <c r="S2507" s="11"/>
      <c r="T2507" s="6"/>
      <c r="U2507" s="24" t="str">
        <f>HYPERLINK("https://media.infra-m.ru/2221/2221066/cover/2221066.jpg", "Обложка")</f>
        <v>Обложка</v>
      </c>
      <c r="V2507" s="24" t="str">
        <f>HYPERLINK("https://znanium.ru/catalog/product/1194133", "Ознакомиться")</f>
        <v>Ознакомиться</v>
      </c>
      <c r="W2507" s="8" t="s">
        <v>6056</v>
      </c>
      <c r="X2507" s="6"/>
      <c r="Y2507" s="6"/>
      <c r="Z2507" s="6"/>
      <c r="AA2507" s="6" t="s">
        <v>76</v>
      </c>
      <c r="AB2507" s="8"/>
    </row>
    <row r="2508" spans="1:28" s="4" customFormat="1" ht="42" customHeight="1">
      <c r="A2508" s="5">
        <v>0</v>
      </c>
      <c r="B2508" s="6" t="s">
        <v>14230</v>
      </c>
      <c r="C2508" s="13">
        <v>628.79999999999995</v>
      </c>
      <c r="D2508" s="8" t="s">
        <v>14231</v>
      </c>
      <c r="E2508" s="8" t="s">
        <v>14232</v>
      </c>
      <c r="F2508" s="8" t="s">
        <v>14233</v>
      </c>
      <c r="G2508" s="6" t="s">
        <v>38</v>
      </c>
      <c r="H2508" s="6" t="s">
        <v>39</v>
      </c>
      <c r="I2508" s="8" t="s">
        <v>344</v>
      </c>
      <c r="J2508" s="9">
        <v>1</v>
      </c>
      <c r="K2508" s="9">
        <v>115</v>
      </c>
      <c r="L2508" s="9">
        <v>2023</v>
      </c>
      <c r="M2508" s="8" t="s">
        <v>14234</v>
      </c>
      <c r="N2508" s="8" t="s">
        <v>54</v>
      </c>
      <c r="O2508" s="8" t="s">
        <v>91</v>
      </c>
      <c r="P2508" s="6" t="s">
        <v>44</v>
      </c>
      <c r="Q2508" s="8" t="s">
        <v>45</v>
      </c>
      <c r="R2508" s="10" t="s">
        <v>3174</v>
      </c>
      <c r="S2508" s="11"/>
      <c r="T2508" s="6"/>
      <c r="U2508" s="24" t="str">
        <f>HYPERLINK("https://media.infra-m.ru/2006/2006872/cover/2006872.jpg", "Обложка")</f>
        <v>Обложка</v>
      </c>
      <c r="V2508" s="12"/>
      <c r="W2508" s="8" t="s">
        <v>346</v>
      </c>
      <c r="X2508" s="6"/>
      <c r="Y2508" s="6"/>
      <c r="Z2508" s="6"/>
      <c r="AA2508" s="6" t="s">
        <v>68</v>
      </c>
      <c r="AB2508" s="8"/>
    </row>
    <row r="2509" spans="1:28" s="4" customFormat="1" ht="42" customHeight="1">
      <c r="A2509" s="5">
        <v>0</v>
      </c>
      <c r="B2509" s="6" t="s">
        <v>14235</v>
      </c>
      <c r="C2509" s="7">
        <v>1524</v>
      </c>
      <c r="D2509" s="8" t="s">
        <v>14236</v>
      </c>
      <c r="E2509" s="8" t="s">
        <v>14237</v>
      </c>
      <c r="F2509" s="8" t="s">
        <v>14238</v>
      </c>
      <c r="G2509" s="6" t="s">
        <v>38</v>
      </c>
      <c r="H2509" s="6" t="s">
        <v>39</v>
      </c>
      <c r="I2509" s="8" t="s">
        <v>40</v>
      </c>
      <c r="J2509" s="9">
        <v>1</v>
      </c>
      <c r="K2509" s="9">
        <v>240</v>
      </c>
      <c r="L2509" s="9">
        <v>2025</v>
      </c>
      <c r="M2509" s="8" t="s">
        <v>14239</v>
      </c>
      <c r="N2509" s="8" t="s">
        <v>54</v>
      </c>
      <c r="O2509" s="8" t="s">
        <v>91</v>
      </c>
      <c r="P2509" s="6" t="s">
        <v>44</v>
      </c>
      <c r="Q2509" s="8" t="s">
        <v>45</v>
      </c>
      <c r="R2509" s="10" t="s">
        <v>3174</v>
      </c>
      <c r="S2509" s="11"/>
      <c r="T2509" s="6"/>
      <c r="U2509" s="24" t="str">
        <f>HYPERLINK("https://media.infra-m.ru/2180/2180378/cover/2180378.jpg", "Обложка")</f>
        <v>Обложка</v>
      </c>
      <c r="V2509" s="24" t="str">
        <f>HYPERLINK("https://znanium.ru/catalog/product/2180378", "Ознакомиться")</f>
        <v>Ознакомиться</v>
      </c>
      <c r="W2509" s="8" t="s">
        <v>3412</v>
      </c>
      <c r="X2509" s="6" t="s">
        <v>320</v>
      </c>
      <c r="Y2509" s="6"/>
      <c r="Z2509" s="6"/>
      <c r="AA2509" s="6" t="s">
        <v>159</v>
      </c>
      <c r="AB2509" s="8"/>
    </row>
    <row r="2510" spans="1:28" s="4" customFormat="1" ht="42" customHeight="1">
      <c r="A2510" s="5">
        <v>0</v>
      </c>
      <c r="B2510" s="6" t="s">
        <v>14240</v>
      </c>
      <c r="C2510" s="7">
        <v>2340</v>
      </c>
      <c r="D2510" s="8" t="s">
        <v>14241</v>
      </c>
      <c r="E2510" s="8" t="s">
        <v>14242</v>
      </c>
      <c r="F2510" s="8" t="s">
        <v>14243</v>
      </c>
      <c r="G2510" s="6" t="s">
        <v>38</v>
      </c>
      <c r="H2510" s="6" t="s">
        <v>39</v>
      </c>
      <c r="I2510" s="8" t="s">
        <v>40</v>
      </c>
      <c r="J2510" s="9">
        <v>1</v>
      </c>
      <c r="K2510" s="9">
        <v>390</v>
      </c>
      <c r="L2510" s="9">
        <v>2025</v>
      </c>
      <c r="M2510" s="8" t="s">
        <v>14244</v>
      </c>
      <c r="N2510" s="8" t="s">
        <v>54</v>
      </c>
      <c r="O2510" s="8" t="s">
        <v>91</v>
      </c>
      <c r="P2510" s="6" t="s">
        <v>44</v>
      </c>
      <c r="Q2510" s="8" t="s">
        <v>45</v>
      </c>
      <c r="R2510" s="10" t="s">
        <v>197</v>
      </c>
      <c r="S2510" s="11"/>
      <c r="T2510" s="6"/>
      <c r="U2510" s="24" t="str">
        <f>HYPERLINK("https://media.infra-m.ru/2174/2174464/cover/2174464.jpg", "Обложка")</f>
        <v>Обложка</v>
      </c>
      <c r="V2510" s="24" t="str">
        <f>HYPERLINK("https://znanium.ru/catalog/product/2174464", "Ознакомиться")</f>
        <v>Ознакомиться</v>
      </c>
      <c r="W2510" s="8" t="s">
        <v>3715</v>
      </c>
      <c r="X2510" s="6"/>
      <c r="Y2510" s="6"/>
      <c r="Z2510" s="6"/>
      <c r="AA2510" s="6" t="s">
        <v>168</v>
      </c>
      <c r="AB2510" s="8"/>
    </row>
    <row r="2511" spans="1:28" s="4" customFormat="1" ht="51.95" customHeight="1">
      <c r="A2511" s="5">
        <v>0</v>
      </c>
      <c r="B2511" s="6" t="s">
        <v>14245</v>
      </c>
      <c r="C2511" s="7">
        <v>1644</v>
      </c>
      <c r="D2511" s="8" t="s">
        <v>14246</v>
      </c>
      <c r="E2511" s="8" t="s">
        <v>14247</v>
      </c>
      <c r="F2511" s="8" t="s">
        <v>14248</v>
      </c>
      <c r="G2511" s="6" t="s">
        <v>38</v>
      </c>
      <c r="H2511" s="6" t="s">
        <v>1019</v>
      </c>
      <c r="I2511" s="8" t="s">
        <v>14249</v>
      </c>
      <c r="J2511" s="9">
        <v>1</v>
      </c>
      <c r="K2511" s="9">
        <v>274</v>
      </c>
      <c r="L2511" s="9">
        <v>2024</v>
      </c>
      <c r="M2511" s="8" t="s">
        <v>14250</v>
      </c>
      <c r="N2511" s="8" t="s">
        <v>54</v>
      </c>
      <c r="O2511" s="8" t="s">
        <v>91</v>
      </c>
      <c r="P2511" s="6" t="s">
        <v>44</v>
      </c>
      <c r="Q2511" s="8" t="s">
        <v>45</v>
      </c>
      <c r="R2511" s="10" t="s">
        <v>14251</v>
      </c>
      <c r="S2511" s="11"/>
      <c r="T2511" s="6"/>
      <c r="U2511" s="24" t="str">
        <f>HYPERLINK("https://media.infra-m.ru/2157/2157866/cover/2157866.jpg", "Обложка")</f>
        <v>Обложка</v>
      </c>
      <c r="V2511" s="24" t="str">
        <f>HYPERLINK("https://znanium.ru/catalog/product/1760131", "Ознакомиться")</f>
        <v>Ознакомиться</v>
      </c>
      <c r="W2511" s="8" t="s">
        <v>176</v>
      </c>
      <c r="X2511" s="6"/>
      <c r="Y2511" s="6"/>
      <c r="Z2511" s="6"/>
      <c r="AA2511" s="6" t="s">
        <v>1494</v>
      </c>
      <c r="AB2511" s="8"/>
    </row>
    <row r="2512" spans="1:28" s="4" customFormat="1" ht="51.95" customHeight="1">
      <c r="A2512" s="5">
        <v>0</v>
      </c>
      <c r="B2512" s="6" t="s">
        <v>14252</v>
      </c>
      <c r="C2512" s="7">
        <v>1020</v>
      </c>
      <c r="D2512" s="8" t="s">
        <v>14253</v>
      </c>
      <c r="E2512" s="8" t="s">
        <v>14254</v>
      </c>
      <c r="F2512" s="8" t="s">
        <v>14248</v>
      </c>
      <c r="G2512" s="6" t="s">
        <v>38</v>
      </c>
      <c r="H2512" s="6" t="s">
        <v>1019</v>
      </c>
      <c r="I2512" s="8" t="s">
        <v>1019</v>
      </c>
      <c r="J2512" s="9">
        <v>1</v>
      </c>
      <c r="K2512" s="9">
        <v>274</v>
      </c>
      <c r="L2512" s="9">
        <v>2018</v>
      </c>
      <c r="M2512" s="8" t="s">
        <v>14255</v>
      </c>
      <c r="N2512" s="8" t="s">
        <v>54</v>
      </c>
      <c r="O2512" s="8" t="s">
        <v>91</v>
      </c>
      <c r="P2512" s="6" t="s">
        <v>44</v>
      </c>
      <c r="Q2512" s="8" t="s">
        <v>3762</v>
      </c>
      <c r="R2512" s="10" t="s">
        <v>14251</v>
      </c>
      <c r="S2512" s="11"/>
      <c r="T2512" s="6"/>
      <c r="U2512" s="24" t="str">
        <f>HYPERLINK("https://media.infra-m.ru/0939/0939414/cover/939414.jpg", "Обложка")</f>
        <v>Обложка</v>
      </c>
      <c r="V2512" s="24" t="str">
        <f>HYPERLINK("https://znanium.ru/catalog/product/1760131", "Ознакомиться")</f>
        <v>Ознакомиться</v>
      </c>
      <c r="W2512" s="8" t="s">
        <v>176</v>
      </c>
      <c r="X2512" s="6"/>
      <c r="Y2512" s="6"/>
      <c r="Z2512" s="6"/>
      <c r="AA2512" s="6" t="s">
        <v>369</v>
      </c>
      <c r="AB2512" s="8"/>
    </row>
    <row r="2513" spans="1:28" s="4" customFormat="1" ht="42" customHeight="1">
      <c r="A2513" s="5">
        <v>0</v>
      </c>
      <c r="B2513" s="6" t="s">
        <v>14256</v>
      </c>
      <c r="C2513" s="7">
        <v>2604</v>
      </c>
      <c r="D2513" s="8" t="s">
        <v>14257</v>
      </c>
      <c r="E2513" s="8" t="s">
        <v>14258</v>
      </c>
      <c r="F2513" s="8" t="s">
        <v>2883</v>
      </c>
      <c r="G2513" s="6" t="s">
        <v>132</v>
      </c>
      <c r="H2513" s="6" t="s">
        <v>39</v>
      </c>
      <c r="I2513" s="8" t="s">
        <v>40</v>
      </c>
      <c r="J2513" s="9">
        <v>1</v>
      </c>
      <c r="K2513" s="9">
        <v>418</v>
      </c>
      <c r="L2513" s="9">
        <v>2026</v>
      </c>
      <c r="M2513" s="8" t="s">
        <v>14259</v>
      </c>
      <c r="N2513" s="8" t="s">
        <v>42</v>
      </c>
      <c r="O2513" s="8" t="s">
        <v>101</v>
      </c>
      <c r="P2513" s="6" t="s">
        <v>44</v>
      </c>
      <c r="Q2513" s="8" t="s">
        <v>45</v>
      </c>
      <c r="R2513" s="10" t="s">
        <v>2748</v>
      </c>
      <c r="S2513" s="11"/>
      <c r="T2513" s="6"/>
      <c r="U2513" s="24" t="str">
        <f>HYPERLINK("https://media.infra-m.ru/2215/2215749/cover/2215749.jpg", "Обложка")</f>
        <v>Обложка</v>
      </c>
      <c r="V2513" s="24" t="str">
        <f>HYPERLINK("https://znanium.ru/catalog/product/2215749", "Ознакомиться")</f>
        <v>Ознакомиться</v>
      </c>
      <c r="W2513" s="8" t="s">
        <v>1349</v>
      </c>
      <c r="X2513" s="6"/>
      <c r="Y2513" s="6"/>
      <c r="Z2513" s="6"/>
      <c r="AA2513" s="6" t="s">
        <v>321</v>
      </c>
      <c r="AB2513" s="8"/>
    </row>
    <row r="2514" spans="1:28" s="4" customFormat="1" ht="42" customHeight="1">
      <c r="A2514" s="5">
        <v>0</v>
      </c>
      <c r="B2514" s="6" t="s">
        <v>14260</v>
      </c>
      <c r="C2514" s="7">
        <v>1944</v>
      </c>
      <c r="D2514" s="8" t="s">
        <v>14261</v>
      </c>
      <c r="E2514" s="8" t="s">
        <v>14262</v>
      </c>
      <c r="F2514" s="8" t="s">
        <v>14263</v>
      </c>
      <c r="G2514" s="6" t="s">
        <v>132</v>
      </c>
      <c r="H2514" s="6" t="s">
        <v>39</v>
      </c>
      <c r="I2514" s="8" t="s">
        <v>40</v>
      </c>
      <c r="J2514" s="9">
        <v>1</v>
      </c>
      <c r="K2514" s="9">
        <v>311</v>
      </c>
      <c r="L2514" s="9">
        <v>2025</v>
      </c>
      <c r="M2514" s="8" t="s">
        <v>14264</v>
      </c>
      <c r="N2514" s="8" t="s">
        <v>42</v>
      </c>
      <c r="O2514" s="8" t="s">
        <v>101</v>
      </c>
      <c r="P2514" s="6" t="s">
        <v>44</v>
      </c>
      <c r="Q2514" s="8" t="s">
        <v>45</v>
      </c>
      <c r="R2514" s="10" t="s">
        <v>269</v>
      </c>
      <c r="S2514" s="11"/>
      <c r="T2514" s="6"/>
      <c r="U2514" s="24" t="str">
        <f>HYPERLINK("https://media.infra-m.ru/2164/2164859/cover/2164859.jpg", "Обложка")</f>
        <v>Обложка</v>
      </c>
      <c r="V2514" s="24" t="str">
        <f>HYPERLINK("https://znanium.ru/catalog/product/2164859", "Ознакомиться")</f>
        <v>Ознакомиться</v>
      </c>
      <c r="W2514" s="8" t="s">
        <v>937</v>
      </c>
      <c r="X2514" s="6" t="s">
        <v>320</v>
      </c>
      <c r="Y2514" s="6"/>
      <c r="Z2514" s="6"/>
      <c r="AA2514" s="6" t="s">
        <v>159</v>
      </c>
      <c r="AB2514" s="8"/>
    </row>
    <row r="2515" spans="1:28" s="4" customFormat="1" ht="51.95" customHeight="1">
      <c r="A2515" s="5">
        <v>0</v>
      </c>
      <c r="B2515" s="6" t="s">
        <v>14265</v>
      </c>
      <c r="C2515" s="13">
        <v>664.8</v>
      </c>
      <c r="D2515" s="8" t="s">
        <v>14266</v>
      </c>
      <c r="E2515" s="8" t="s">
        <v>14267</v>
      </c>
      <c r="F2515" s="8" t="s">
        <v>14268</v>
      </c>
      <c r="G2515" s="6" t="s">
        <v>132</v>
      </c>
      <c r="H2515" s="6" t="s">
        <v>1019</v>
      </c>
      <c r="I2515" s="8" t="s">
        <v>1020</v>
      </c>
      <c r="J2515" s="9">
        <v>1</v>
      </c>
      <c r="K2515" s="9">
        <v>120</v>
      </c>
      <c r="L2515" s="9">
        <v>2024</v>
      </c>
      <c r="M2515" s="8" t="s">
        <v>14269</v>
      </c>
      <c r="N2515" s="8" t="s">
        <v>42</v>
      </c>
      <c r="O2515" s="8" t="s">
        <v>1315</v>
      </c>
      <c r="P2515" s="6" t="s">
        <v>44</v>
      </c>
      <c r="Q2515" s="8" t="s">
        <v>45</v>
      </c>
      <c r="R2515" s="10" t="s">
        <v>14270</v>
      </c>
      <c r="S2515" s="11"/>
      <c r="T2515" s="6"/>
      <c r="U2515" s="24" t="str">
        <f>HYPERLINK("https://media.infra-m.ru/2118/2118687/cover/2118687.jpg", "Обложка")</f>
        <v>Обложка</v>
      </c>
      <c r="V2515" s="24" t="str">
        <f>HYPERLINK("https://znanium.ru/catalog/product/1456204", "Ознакомиться")</f>
        <v>Ознакомиться</v>
      </c>
      <c r="W2515" s="8" t="s">
        <v>1543</v>
      </c>
      <c r="X2515" s="6"/>
      <c r="Y2515" s="6"/>
      <c r="Z2515" s="6"/>
      <c r="AA2515" s="6" t="s">
        <v>290</v>
      </c>
      <c r="AB2515" s="8"/>
    </row>
    <row r="2516" spans="1:28" s="4" customFormat="1" ht="44.1" customHeight="1">
      <c r="A2516" s="5">
        <v>0</v>
      </c>
      <c r="B2516" s="6" t="s">
        <v>14271</v>
      </c>
      <c r="C2516" s="7">
        <v>1248</v>
      </c>
      <c r="D2516" s="8" t="s">
        <v>14272</v>
      </c>
      <c r="E2516" s="8" t="s">
        <v>14273</v>
      </c>
      <c r="F2516" s="8" t="s">
        <v>14274</v>
      </c>
      <c r="G2516" s="6" t="s">
        <v>38</v>
      </c>
      <c r="H2516" s="6" t="s">
        <v>39</v>
      </c>
      <c r="I2516" s="8" t="s">
        <v>164</v>
      </c>
      <c r="J2516" s="9">
        <v>1</v>
      </c>
      <c r="K2516" s="9">
        <v>172</v>
      </c>
      <c r="L2516" s="9">
        <v>2025</v>
      </c>
      <c r="M2516" s="8" t="s">
        <v>14275</v>
      </c>
      <c r="N2516" s="8" t="s">
        <v>42</v>
      </c>
      <c r="O2516" s="8" t="s">
        <v>189</v>
      </c>
      <c r="P2516" s="6" t="s">
        <v>44</v>
      </c>
      <c r="Q2516" s="8" t="s">
        <v>45</v>
      </c>
      <c r="R2516" s="10" t="s">
        <v>14276</v>
      </c>
      <c r="S2516" s="11"/>
      <c r="T2516" s="6"/>
      <c r="U2516" s="24" t="str">
        <f>HYPERLINK("https://media.infra-m.ru/2192/2192603/cover/2192603.jpg", "Обложка")</f>
        <v>Обложка</v>
      </c>
      <c r="V2516" s="24" t="str">
        <f>HYPERLINK("https://znanium.ru/catalog/product/2192603", "Ознакомиться")</f>
        <v>Ознакомиться</v>
      </c>
      <c r="W2516" s="8" t="s">
        <v>167</v>
      </c>
      <c r="X2516" s="6" t="s">
        <v>320</v>
      </c>
      <c r="Y2516" s="6"/>
      <c r="Z2516" s="6"/>
      <c r="AA2516" s="6" t="s">
        <v>159</v>
      </c>
      <c r="AB2516" s="8"/>
    </row>
    <row r="2517" spans="1:28" s="4" customFormat="1" ht="51.95" customHeight="1">
      <c r="A2517" s="5">
        <v>0</v>
      </c>
      <c r="B2517" s="6" t="s">
        <v>14277</v>
      </c>
      <c r="C2517" s="13">
        <v>539.9</v>
      </c>
      <c r="D2517" s="8" t="s">
        <v>14278</v>
      </c>
      <c r="E2517" s="8" t="s">
        <v>14279</v>
      </c>
      <c r="F2517" s="8" t="s">
        <v>14280</v>
      </c>
      <c r="G2517" s="6" t="s">
        <v>132</v>
      </c>
      <c r="H2517" s="6" t="s">
        <v>39</v>
      </c>
      <c r="I2517" s="8" t="s">
        <v>40</v>
      </c>
      <c r="J2517" s="9">
        <v>16</v>
      </c>
      <c r="K2517" s="9">
        <v>238</v>
      </c>
      <c r="L2517" s="9">
        <v>2015</v>
      </c>
      <c r="M2517" s="8" t="s">
        <v>14281</v>
      </c>
      <c r="N2517" s="8" t="s">
        <v>42</v>
      </c>
      <c r="O2517" s="8" t="s">
        <v>189</v>
      </c>
      <c r="P2517" s="6" t="s">
        <v>44</v>
      </c>
      <c r="Q2517" s="8" t="s">
        <v>45</v>
      </c>
      <c r="R2517" s="10" t="s">
        <v>797</v>
      </c>
      <c r="S2517" s="11"/>
      <c r="T2517" s="6"/>
      <c r="U2517" s="24" t="str">
        <f>HYPERLINK("https://media.infra-m.ru/0471/0471624/cover/471624.jpg", "Обложка")</f>
        <v>Обложка</v>
      </c>
      <c r="V2517" s="24" t="str">
        <f>HYPERLINK("https://znanium.ru/catalog/product/471624", "Ознакомиться")</f>
        <v>Ознакомиться</v>
      </c>
      <c r="W2517" s="8" t="s">
        <v>516</v>
      </c>
      <c r="X2517" s="6"/>
      <c r="Y2517" s="6"/>
      <c r="Z2517" s="6"/>
      <c r="AA2517" s="6" t="s">
        <v>290</v>
      </c>
      <c r="AB2517" s="8"/>
    </row>
    <row r="2518" spans="1:28" s="4" customFormat="1" ht="44.1" customHeight="1">
      <c r="A2518" s="5">
        <v>0</v>
      </c>
      <c r="B2518" s="6" t="s">
        <v>14282</v>
      </c>
      <c r="C2518" s="13">
        <v>688.8</v>
      </c>
      <c r="D2518" s="8" t="s">
        <v>14283</v>
      </c>
      <c r="E2518" s="8" t="s">
        <v>14284</v>
      </c>
      <c r="F2518" s="8" t="s">
        <v>14285</v>
      </c>
      <c r="G2518" s="6" t="s">
        <v>38</v>
      </c>
      <c r="H2518" s="6" t="s">
        <v>99</v>
      </c>
      <c r="I2518" s="8"/>
      <c r="J2518" s="9">
        <v>1</v>
      </c>
      <c r="K2518" s="9">
        <v>104</v>
      </c>
      <c r="L2518" s="9">
        <v>2026</v>
      </c>
      <c r="M2518" s="8" t="s">
        <v>14286</v>
      </c>
      <c r="N2518" s="8" t="s">
        <v>42</v>
      </c>
      <c r="O2518" s="8" t="s">
        <v>189</v>
      </c>
      <c r="P2518" s="6" t="s">
        <v>44</v>
      </c>
      <c r="Q2518" s="8" t="s">
        <v>45</v>
      </c>
      <c r="R2518" s="10" t="s">
        <v>14287</v>
      </c>
      <c r="S2518" s="11"/>
      <c r="T2518" s="6"/>
      <c r="U2518" s="24" t="str">
        <f>HYPERLINK("https://media.infra-m.ru/2221/2221370/cover/2221370.jpg", "Обложка")</f>
        <v>Обложка</v>
      </c>
      <c r="V2518" s="24" t="str">
        <f>HYPERLINK("https://znanium.ru/catalog/product/1864374", "Ознакомиться")</f>
        <v>Ознакомиться</v>
      </c>
      <c r="W2518" s="8" t="s">
        <v>103</v>
      </c>
      <c r="X2518" s="6"/>
      <c r="Y2518" s="6"/>
      <c r="Z2518" s="6"/>
      <c r="AA2518" s="6" t="s">
        <v>168</v>
      </c>
      <c r="AB2518" s="8"/>
    </row>
    <row r="2519" spans="1:28" s="4" customFormat="1" ht="51.95" customHeight="1">
      <c r="A2519" s="5">
        <v>0</v>
      </c>
      <c r="B2519" s="6" t="s">
        <v>14288</v>
      </c>
      <c r="C2519" s="7">
        <v>1836</v>
      </c>
      <c r="D2519" s="8" t="s">
        <v>14289</v>
      </c>
      <c r="E2519" s="8" t="s">
        <v>14290</v>
      </c>
      <c r="F2519" s="8" t="s">
        <v>14291</v>
      </c>
      <c r="G2519" s="6" t="s">
        <v>132</v>
      </c>
      <c r="H2519" s="6" t="s">
        <v>39</v>
      </c>
      <c r="I2519" s="8" t="s">
        <v>40</v>
      </c>
      <c r="J2519" s="9">
        <v>1</v>
      </c>
      <c r="K2519" s="9">
        <v>331</v>
      </c>
      <c r="L2519" s="9">
        <v>2024</v>
      </c>
      <c r="M2519" s="8" t="s">
        <v>14292</v>
      </c>
      <c r="N2519" s="8" t="s">
        <v>229</v>
      </c>
      <c r="O2519" s="8" t="s">
        <v>230</v>
      </c>
      <c r="P2519" s="6" t="s">
        <v>44</v>
      </c>
      <c r="Q2519" s="8" t="s">
        <v>45</v>
      </c>
      <c r="R2519" s="10" t="s">
        <v>14293</v>
      </c>
      <c r="S2519" s="11"/>
      <c r="T2519" s="6"/>
      <c r="U2519" s="24" t="str">
        <f>HYPERLINK("https://media.infra-m.ru/2091/2091440/cover/2091440.jpg", "Обложка")</f>
        <v>Обложка</v>
      </c>
      <c r="V2519" s="24" t="str">
        <f>HYPERLINK("https://znanium.ru/catalog/product/2091440", "Ознакомиться")</f>
        <v>Ознакомиться</v>
      </c>
      <c r="W2519" s="8" t="s">
        <v>1049</v>
      </c>
      <c r="X2519" s="6"/>
      <c r="Y2519" s="6"/>
      <c r="Z2519" s="6"/>
      <c r="AA2519" s="6" t="s">
        <v>58</v>
      </c>
      <c r="AB2519" s="8"/>
    </row>
    <row r="2520" spans="1:28" s="4" customFormat="1" ht="51.95" customHeight="1">
      <c r="A2520" s="5">
        <v>0</v>
      </c>
      <c r="B2520" s="6" t="s">
        <v>14294</v>
      </c>
      <c r="C2520" s="7">
        <v>1733.9</v>
      </c>
      <c r="D2520" s="8" t="s">
        <v>14295</v>
      </c>
      <c r="E2520" s="8" t="s">
        <v>14296</v>
      </c>
      <c r="F2520" s="8" t="s">
        <v>14297</v>
      </c>
      <c r="G2520" s="6" t="s">
        <v>132</v>
      </c>
      <c r="H2520" s="6" t="s">
        <v>39</v>
      </c>
      <c r="I2520" s="8" t="s">
        <v>40</v>
      </c>
      <c r="J2520" s="9">
        <v>1</v>
      </c>
      <c r="K2520" s="9">
        <v>320</v>
      </c>
      <c r="L2520" s="9">
        <v>2023</v>
      </c>
      <c r="M2520" s="8" t="s">
        <v>14298</v>
      </c>
      <c r="N2520" s="8" t="s">
        <v>42</v>
      </c>
      <c r="O2520" s="8" t="s">
        <v>189</v>
      </c>
      <c r="P2520" s="6" t="s">
        <v>44</v>
      </c>
      <c r="Q2520" s="8" t="s">
        <v>45</v>
      </c>
      <c r="R2520" s="10" t="s">
        <v>797</v>
      </c>
      <c r="S2520" s="11"/>
      <c r="T2520" s="6"/>
      <c r="U2520" s="24" t="str">
        <f>HYPERLINK("https://media.infra-m.ru/1974/1974342/cover/1974342.jpg", "Обложка")</f>
        <v>Обложка</v>
      </c>
      <c r="V2520" s="24" t="str">
        <f>HYPERLINK("https://znanium.ru/catalog/product/1085273", "Ознакомиться")</f>
        <v>Ознакомиться</v>
      </c>
      <c r="W2520" s="8" t="s">
        <v>516</v>
      </c>
      <c r="X2520" s="6"/>
      <c r="Y2520" s="6"/>
      <c r="Z2520" s="6"/>
      <c r="AA2520" s="6" t="s">
        <v>1050</v>
      </c>
      <c r="AB2520" s="8"/>
    </row>
    <row r="2521" spans="1:28" s="4" customFormat="1" ht="51.95" customHeight="1">
      <c r="A2521" s="5">
        <v>0</v>
      </c>
      <c r="B2521" s="6" t="s">
        <v>14299</v>
      </c>
      <c r="C2521" s="13">
        <v>540</v>
      </c>
      <c r="D2521" s="8" t="s">
        <v>14300</v>
      </c>
      <c r="E2521" s="8" t="s">
        <v>14301</v>
      </c>
      <c r="F2521" s="8" t="s">
        <v>14302</v>
      </c>
      <c r="G2521" s="6" t="s">
        <v>38</v>
      </c>
      <c r="H2521" s="6" t="s">
        <v>39</v>
      </c>
      <c r="I2521" s="8" t="s">
        <v>164</v>
      </c>
      <c r="J2521" s="9">
        <v>1</v>
      </c>
      <c r="K2521" s="9">
        <v>110</v>
      </c>
      <c r="L2521" s="9">
        <v>2019</v>
      </c>
      <c r="M2521" s="8" t="s">
        <v>14303</v>
      </c>
      <c r="N2521" s="8" t="s">
        <v>42</v>
      </c>
      <c r="O2521" s="8" t="s">
        <v>189</v>
      </c>
      <c r="P2521" s="6" t="s">
        <v>44</v>
      </c>
      <c r="Q2521" s="8" t="s">
        <v>45</v>
      </c>
      <c r="R2521" s="10" t="s">
        <v>14304</v>
      </c>
      <c r="S2521" s="11"/>
      <c r="T2521" s="6"/>
      <c r="U2521" s="24" t="str">
        <f>HYPERLINK("https://media.infra-m.ru/1027/1027877/cover/1027877.jpg", "Обложка")</f>
        <v>Обложка</v>
      </c>
      <c r="V2521" s="24" t="str">
        <f>HYPERLINK("https://znanium.ru/catalog/product/1027877", "Ознакомиться")</f>
        <v>Ознакомиться</v>
      </c>
      <c r="W2521" s="8" t="s">
        <v>167</v>
      </c>
      <c r="X2521" s="6"/>
      <c r="Y2521" s="6"/>
      <c r="Z2521" s="6"/>
      <c r="AA2521" s="6" t="s">
        <v>76</v>
      </c>
      <c r="AB2521" s="8"/>
    </row>
    <row r="2522" spans="1:28" s="4" customFormat="1" ht="44.1" customHeight="1">
      <c r="A2522" s="5">
        <v>0</v>
      </c>
      <c r="B2522" s="6" t="s">
        <v>14305</v>
      </c>
      <c r="C2522" s="7">
        <v>1634.4</v>
      </c>
      <c r="D2522" s="8" t="s">
        <v>14306</v>
      </c>
      <c r="E2522" s="8" t="s">
        <v>14307</v>
      </c>
      <c r="F2522" s="8" t="s">
        <v>14308</v>
      </c>
      <c r="G2522" s="6" t="s">
        <v>132</v>
      </c>
      <c r="H2522" s="6" t="s">
        <v>39</v>
      </c>
      <c r="I2522" s="8" t="s">
        <v>40</v>
      </c>
      <c r="J2522" s="9">
        <v>1</v>
      </c>
      <c r="K2522" s="9">
        <v>223</v>
      </c>
      <c r="L2522" s="9">
        <v>2024</v>
      </c>
      <c r="M2522" s="8" t="s">
        <v>14309</v>
      </c>
      <c r="N2522" s="8" t="s">
        <v>42</v>
      </c>
      <c r="O2522" s="8" t="s">
        <v>189</v>
      </c>
      <c r="P2522" s="6" t="s">
        <v>44</v>
      </c>
      <c r="Q2522" s="8" t="s">
        <v>45</v>
      </c>
      <c r="R2522" s="10" t="s">
        <v>206</v>
      </c>
      <c r="S2522" s="11"/>
      <c r="T2522" s="6"/>
      <c r="U2522" s="24" t="str">
        <f>HYPERLINK("https://media.infra-m.ru/2108/2108542/cover/2108542.jpg", "Обложка")</f>
        <v>Обложка</v>
      </c>
      <c r="V2522" s="24" t="str">
        <f>HYPERLINK("https://znanium.ru/catalog/product/2108542", "Ознакомиться")</f>
        <v>Ознакомиться</v>
      </c>
      <c r="W2522" s="8" t="s">
        <v>2320</v>
      </c>
      <c r="X2522" s="6"/>
      <c r="Y2522" s="6"/>
      <c r="Z2522" s="6"/>
      <c r="AA2522" s="6" t="s">
        <v>58</v>
      </c>
      <c r="AB2522" s="8"/>
    </row>
    <row r="2523" spans="1:28" s="4" customFormat="1" ht="51.95" customHeight="1">
      <c r="A2523" s="5">
        <v>0</v>
      </c>
      <c r="B2523" s="6" t="s">
        <v>14310</v>
      </c>
      <c r="C2523" s="7">
        <v>1428</v>
      </c>
      <c r="D2523" s="8" t="s">
        <v>14311</v>
      </c>
      <c r="E2523" s="8" t="s">
        <v>14312</v>
      </c>
      <c r="F2523" s="8" t="s">
        <v>14313</v>
      </c>
      <c r="G2523" s="6" t="s">
        <v>81</v>
      </c>
      <c r="H2523" s="6" t="s">
        <v>39</v>
      </c>
      <c r="I2523" s="8" t="s">
        <v>164</v>
      </c>
      <c r="J2523" s="9">
        <v>1</v>
      </c>
      <c r="K2523" s="9">
        <v>258</v>
      </c>
      <c r="L2523" s="9">
        <v>2023</v>
      </c>
      <c r="M2523" s="8" t="s">
        <v>14314</v>
      </c>
      <c r="N2523" s="8" t="s">
        <v>42</v>
      </c>
      <c r="O2523" s="8" t="s">
        <v>189</v>
      </c>
      <c r="P2523" s="6" t="s">
        <v>44</v>
      </c>
      <c r="Q2523" s="8" t="s">
        <v>45</v>
      </c>
      <c r="R2523" s="10" t="s">
        <v>14315</v>
      </c>
      <c r="S2523" s="11"/>
      <c r="T2523" s="6"/>
      <c r="U2523" s="24" t="str">
        <f>HYPERLINK("https://media.infra-m.ru/2080/2080764/cover/2080764.jpg", "Обложка")</f>
        <v>Обложка</v>
      </c>
      <c r="V2523" s="24" t="str">
        <f>HYPERLINK("https://znanium.ru/catalog/product/2080764", "Ознакомиться")</f>
        <v>Ознакомиться</v>
      </c>
      <c r="W2523" s="8" t="s">
        <v>167</v>
      </c>
      <c r="X2523" s="6"/>
      <c r="Y2523" s="6"/>
      <c r="Z2523" s="6"/>
      <c r="AA2523" s="6" t="s">
        <v>369</v>
      </c>
      <c r="AB2523" s="8"/>
    </row>
    <row r="2524" spans="1:28" s="4" customFormat="1" ht="42" customHeight="1">
      <c r="A2524" s="5">
        <v>0</v>
      </c>
      <c r="B2524" s="6" t="s">
        <v>14316</v>
      </c>
      <c r="C2524" s="7">
        <v>1032</v>
      </c>
      <c r="D2524" s="8" t="s">
        <v>14317</v>
      </c>
      <c r="E2524" s="8" t="s">
        <v>14318</v>
      </c>
      <c r="F2524" s="8" t="s">
        <v>14319</v>
      </c>
      <c r="G2524" s="6" t="s">
        <v>81</v>
      </c>
      <c r="H2524" s="6" t="s">
        <v>39</v>
      </c>
      <c r="I2524" s="8" t="s">
        <v>40</v>
      </c>
      <c r="J2524" s="9">
        <v>1</v>
      </c>
      <c r="K2524" s="9">
        <v>231</v>
      </c>
      <c r="L2524" s="9">
        <v>2021</v>
      </c>
      <c r="M2524" s="8" t="s">
        <v>14320</v>
      </c>
      <c r="N2524" s="8" t="s">
        <v>42</v>
      </c>
      <c r="O2524" s="8" t="s">
        <v>189</v>
      </c>
      <c r="P2524" s="6" t="s">
        <v>44</v>
      </c>
      <c r="Q2524" s="8" t="s">
        <v>45</v>
      </c>
      <c r="R2524" s="10" t="s">
        <v>14321</v>
      </c>
      <c r="S2524" s="11"/>
      <c r="T2524" s="6"/>
      <c r="U2524" s="24" t="str">
        <f>HYPERLINK("https://media.infra-m.ru/1149/1149630/cover/1149630.jpg", "Обложка")</f>
        <v>Обложка</v>
      </c>
      <c r="V2524" s="24" t="str">
        <f>HYPERLINK("https://znanium.ru/catalog/product/1149630", "Ознакомиться")</f>
        <v>Ознакомиться</v>
      </c>
      <c r="W2524" s="8" t="s">
        <v>3631</v>
      </c>
      <c r="X2524" s="6"/>
      <c r="Y2524" s="6"/>
      <c r="Z2524" s="6"/>
      <c r="AA2524" s="6" t="s">
        <v>68</v>
      </c>
      <c r="AB2524" s="8"/>
    </row>
    <row r="2525" spans="1:28" s="4" customFormat="1" ht="42" customHeight="1">
      <c r="A2525" s="5">
        <v>0</v>
      </c>
      <c r="B2525" s="6" t="s">
        <v>14322</v>
      </c>
      <c r="C2525" s="13">
        <v>708</v>
      </c>
      <c r="D2525" s="8" t="s">
        <v>14323</v>
      </c>
      <c r="E2525" s="8" t="s">
        <v>14324</v>
      </c>
      <c r="F2525" s="8" t="s">
        <v>14325</v>
      </c>
      <c r="G2525" s="6" t="s">
        <v>38</v>
      </c>
      <c r="H2525" s="6" t="s">
        <v>1019</v>
      </c>
      <c r="I2525" s="8"/>
      <c r="J2525" s="9">
        <v>1</v>
      </c>
      <c r="K2525" s="9">
        <v>188</v>
      </c>
      <c r="L2525" s="9">
        <v>2018</v>
      </c>
      <c r="M2525" s="8" t="s">
        <v>14326</v>
      </c>
      <c r="N2525" s="8" t="s">
        <v>42</v>
      </c>
      <c r="O2525" s="8" t="s">
        <v>189</v>
      </c>
      <c r="P2525" s="6" t="s">
        <v>44</v>
      </c>
      <c r="Q2525" s="8" t="s">
        <v>3762</v>
      </c>
      <c r="R2525" s="10" t="s">
        <v>1854</v>
      </c>
      <c r="S2525" s="11"/>
      <c r="T2525" s="6"/>
      <c r="U2525" s="24" t="str">
        <f>HYPERLINK("https://media.infra-m.ru/0927/0927078/cover/927078.jpg", "Обложка")</f>
        <v>Обложка</v>
      </c>
      <c r="V2525" s="24" t="str">
        <f>HYPERLINK("https://znanium.ru/catalog/product/881931", "Ознакомиться")</f>
        <v>Ознакомиться</v>
      </c>
      <c r="W2525" s="8" t="s">
        <v>14327</v>
      </c>
      <c r="X2525" s="6"/>
      <c r="Y2525" s="6"/>
      <c r="Z2525" s="6"/>
      <c r="AA2525" s="6" t="s">
        <v>369</v>
      </c>
      <c r="AB2525" s="8"/>
    </row>
    <row r="2526" spans="1:28" s="4" customFormat="1" ht="44.1" customHeight="1">
      <c r="A2526" s="5">
        <v>0</v>
      </c>
      <c r="B2526" s="6" t="s">
        <v>14328</v>
      </c>
      <c r="C2526" s="7">
        <v>2064</v>
      </c>
      <c r="D2526" s="8" t="s">
        <v>14329</v>
      </c>
      <c r="E2526" s="8" t="s">
        <v>14330</v>
      </c>
      <c r="F2526" s="8" t="s">
        <v>14331</v>
      </c>
      <c r="G2526" s="6" t="s">
        <v>132</v>
      </c>
      <c r="H2526" s="6" t="s">
        <v>99</v>
      </c>
      <c r="I2526" s="8"/>
      <c r="J2526" s="9">
        <v>1</v>
      </c>
      <c r="K2526" s="9">
        <v>344</v>
      </c>
      <c r="L2526" s="9">
        <v>2024</v>
      </c>
      <c r="M2526" s="8" t="s">
        <v>14332</v>
      </c>
      <c r="N2526" s="8" t="s">
        <v>42</v>
      </c>
      <c r="O2526" s="8" t="s">
        <v>101</v>
      </c>
      <c r="P2526" s="6" t="s">
        <v>44</v>
      </c>
      <c r="Q2526" s="8"/>
      <c r="R2526" s="10" t="s">
        <v>14333</v>
      </c>
      <c r="S2526" s="11"/>
      <c r="T2526" s="6"/>
      <c r="U2526" s="24" t="str">
        <f>HYPERLINK("https://media.infra-m.ru/2146/2146795/cover/2146795.jpg", "Обложка")</f>
        <v>Обложка</v>
      </c>
      <c r="V2526" s="24" t="str">
        <f>HYPERLINK("https://znanium.ru/catalog/product/2146795", "Ознакомиться")</f>
        <v>Ознакомиться</v>
      </c>
      <c r="W2526" s="8" t="s">
        <v>418</v>
      </c>
      <c r="X2526" s="6"/>
      <c r="Y2526" s="6"/>
      <c r="Z2526" s="6"/>
      <c r="AA2526" s="6" t="s">
        <v>58</v>
      </c>
      <c r="AB2526" s="8"/>
    </row>
    <row r="2527" spans="1:28" s="4" customFormat="1" ht="42" customHeight="1">
      <c r="A2527" s="5">
        <v>0</v>
      </c>
      <c r="B2527" s="6" t="s">
        <v>14334</v>
      </c>
      <c r="C2527" s="13">
        <v>624</v>
      </c>
      <c r="D2527" s="8" t="s">
        <v>14335</v>
      </c>
      <c r="E2527" s="8" t="s">
        <v>14336</v>
      </c>
      <c r="F2527" s="8" t="s">
        <v>14337</v>
      </c>
      <c r="G2527" s="6" t="s">
        <v>38</v>
      </c>
      <c r="H2527" s="6" t="s">
        <v>39</v>
      </c>
      <c r="I2527" s="8" t="s">
        <v>40</v>
      </c>
      <c r="J2527" s="9">
        <v>1</v>
      </c>
      <c r="K2527" s="9">
        <v>134</v>
      </c>
      <c r="L2527" s="9">
        <v>2022</v>
      </c>
      <c r="M2527" s="8" t="s">
        <v>14338</v>
      </c>
      <c r="N2527" s="8" t="s">
        <v>42</v>
      </c>
      <c r="O2527" s="8" t="s">
        <v>189</v>
      </c>
      <c r="P2527" s="6" t="s">
        <v>44</v>
      </c>
      <c r="Q2527" s="8" t="s">
        <v>45</v>
      </c>
      <c r="R2527" s="10" t="s">
        <v>14339</v>
      </c>
      <c r="S2527" s="11"/>
      <c r="T2527" s="6" t="s">
        <v>1080</v>
      </c>
      <c r="U2527" s="24" t="str">
        <f>HYPERLINK("https://media.infra-m.ru/1859/1859680/cover/1859680.jpg", "Обложка")</f>
        <v>Обложка</v>
      </c>
      <c r="V2527" s="24" t="str">
        <f>HYPERLINK("https://znanium.ru/catalog/product/1859680", "Ознакомиться")</f>
        <v>Ознакомиться</v>
      </c>
      <c r="W2527" s="8" t="s">
        <v>207</v>
      </c>
      <c r="X2527" s="6"/>
      <c r="Y2527" s="6"/>
      <c r="Z2527" s="6"/>
      <c r="AA2527" s="6" t="s">
        <v>369</v>
      </c>
      <c r="AB2527" s="8"/>
    </row>
    <row r="2528" spans="1:28" s="4" customFormat="1" ht="42" customHeight="1">
      <c r="A2528" s="5">
        <v>0</v>
      </c>
      <c r="B2528" s="6" t="s">
        <v>14340</v>
      </c>
      <c r="C2528" s="7">
        <v>2064</v>
      </c>
      <c r="D2528" s="8" t="s">
        <v>14341</v>
      </c>
      <c r="E2528" s="8" t="s">
        <v>14342</v>
      </c>
      <c r="F2528" s="8" t="s">
        <v>4526</v>
      </c>
      <c r="G2528" s="6" t="s">
        <v>132</v>
      </c>
      <c r="H2528" s="6" t="s">
        <v>39</v>
      </c>
      <c r="I2528" s="8" t="s">
        <v>40</v>
      </c>
      <c r="J2528" s="9">
        <v>1</v>
      </c>
      <c r="K2528" s="9">
        <v>308</v>
      </c>
      <c r="L2528" s="9">
        <v>2025</v>
      </c>
      <c r="M2528" s="8" t="s">
        <v>14343</v>
      </c>
      <c r="N2528" s="8" t="s">
        <v>284</v>
      </c>
      <c r="O2528" s="8" t="s">
        <v>2265</v>
      </c>
      <c r="P2528" s="6" t="s">
        <v>44</v>
      </c>
      <c r="Q2528" s="8" t="s">
        <v>45</v>
      </c>
      <c r="R2528" s="10" t="s">
        <v>14344</v>
      </c>
      <c r="S2528" s="11"/>
      <c r="T2528" s="6"/>
      <c r="U2528" s="24" t="str">
        <f>HYPERLINK("https://media.infra-m.ru/2170/2170637/cover/2170637.jpg", "Обложка")</f>
        <v>Обложка</v>
      </c>
      <c r="V2528" s="24" t="str">
        <f>HYPERLINK("https://znanium.ru/catalog/product/2170637", "Ознакомиться")</f>
        <v>Ознакомиться</v>
      </c>
      <c r="W2528" s="8" t="s">
        <v>289</v>
      </c>
      <c r="X2528" s="6" t="s">
        <v>306</v>
      </c>
      <c r="Y2528" s="6"/>
      <c r="Z2528" s="6"/>
      <c r="AA2528" s="6" t="s">
        <v>159</v>
      </c>
      <c r="AB2528" s="8"/>
    </row>
    <row r="2529" spans="1:28" s="4" customFormat="1" ht="51.95" customHeight="1">
      <c r="A2529" s="5">
        <v>0</v>
      </c>
      <c r="B2529" s="6" t="s">
        <v>14345</v>
      </c>
      <c r="C2529" s="7">
        <v>1176</v>
      </c>
      <c r="D2529" s="8" t="s">
        <v>14346</v>
      </c>
      <c r="E2529" s="8" t="s">
        <v>14347</v>
      </c>
      <c r="F2529" s="8" t="s">
        <v>4526</v>
      </c>
      <c r="G2529" s="6" t="s">
        <v>38</v>
      </c>
      <c r="H2529" s="6" t="s">
        <v>39</v>
      </c>
      <c r="I2529" s="8" t="s">
        <v>40</v>
      </c>
      <c r="J2529" s="9">
        <v>1</v>
      </c>
      <c r="K2529" s="9">
        <v>184</v>
      </c>
      <c r="L2529" s="9">
        <v>2023</v>
      </c>
      <c r="M2529" s="8" t="s">
        <v>14348</v>
      </c>
      <c r="N2529" s="8" t="s">
        <v>284</v>
      </c>
      <c r="O2529" s="8" t="s">
        <v>2265</v>
      </c>
      <c r="P2529" s="6" t="s">
        <v>44</v>
      </c>
      <c r="Q2529" s="8" t="s">
        <v>45</v>
      </c>
      <c r="R2529" s="10" t="s">
        <v>14349</v>
      </c>
      <c r="S2529" s="11"/>
      <c r="T2529" s="6"/>
      <c r="U2529" s="24" t="str">
        <f>HYPERLINK("https://media.infra-m.ru/1938/1938077/cover/1938077.jpg", "Обложка")</f>
        <v>Обложка</v>
      </c>
      <c r="V2529" s="24" t="str">
        <f>HYPERLINK("https://znanium.ru/catalog/product/1938077", "Ознакомиться")</f>
        <v>Ознакомиться</v>
      </c>
      <c r="W2529" s="8" t="s">
        <v>289</v>
      </c>
      <c r="X2529" s="6"/>
      <c r="Y2529" s="6"/>
      <c r="Z2529" s="6"/>
      <c r="AA2529" s="6" t="s">
        <v>119</v>
      </c>
      <c r="AB2529" s="8"/>
    </row>
    <row r="2530" spans="1:28" s="4" customFormat="1" ht="42" customHeight="1">
      <c r="A2530" s="5">
        <v>0</v>
      </c>
      <c r="B2530" s="6" t="s">
        <v>14350</v>
      </c>
      <c r="C2530" s="13">
        <v>341.9</v>
      </c>
      <c r="D2530" s="8" t="s">
        <v>14351</v>
      </c>
      <c r="E2530" s="8" t="s">
        <v>14352</v>
      </c>
      <c r="F2530" s="8" t="s">
        <v>1283</v>
      </c>
      <c r="G2530" s="6" t="s">
        <v>38</v>
      </c>
      <c r="H2530" s="6" t="s">
        <v>39</v>
      </c>
      <c r="I2530" s="8" t="s">
        <v>40</v>
      </c>
      <c r="J2530" s="9">
        <v>1</v>
      </c>
      <c r="K2530" s="9">
        <v>78</v>
      </c>
      <c r="L2530" s="9">
        <v>2021</v>
      </c>
      <c r="M2530" s="8" t="s">
        <v>14353</v>
      </c>
      <c r="N2530" s="8" t="s">
        <v>42</v>
      </c>
      <c r="O2530" s="8" t="s">
        <v>101</v>
      </c>
      <c r="P2530" s="6" t="s">
        <v>44</v>
      </c>
      <c r="Q2530" s="8" t="s">
        <v>45</v>
      </c>
      <c r="R2530" s="10" t="s">
        <v>3755</v>
      </c>
      <c r="S2530" s="11"/>
      <c r="T2530" s="6"/>
      <c r="U2530" s="24" t="str">
        <f>HYPERLINK("https://media.infra-m.ru/1208/1208484/cover/1208484.jpg", "Обложка")</f>
        <v>Обложка</v>
      </c>
      <c r="V2530" s="24" t="str">
        <f>HYPERLINK("https://znanium.ru/catalog/product/1208484", "Ознакомиться")</f>
        <v>Ознакомиться</v>
      </c>
      <c r="W2530" s="8" t="s">
        <v>191</v>
      </c>
      <c r="X2530" s="6"/>
      <c r="Y2530" s="6"/>
      <c r="Z2530" s="6"/>
      <c r="AA2530" s="6" t="s">
        <v>48</v>
      </c>
      <c r="AB2530" s="8"/>
    </row>
    <row r="2531" spans="1:28" s="4" customFormat="1" ht="42" customHeight="1">
      <c r="A2531" s="5">
        <v>0</v>
      </c>
      <c r="B2531" s="6" t="s">
        <v>14354</v>
      </c>
      <c r="C2531" s="13">
        <v>832.8</v>
      </c>
      <c r="D2531" s="8" t="s">
        <v>14355</v>
      </c>
      <c r="E2531" s="8" t="s">
        <v>14356</v>
      </c>
      <c r="F2531" s="8" t="s">
        <v>14357</v>
      </c>
      <c r="G2531" s="6" t="s">
        <v>38</v>
      </c>
      <c r="H2531" s="6" t="s">
        <v>39</v>
      </c>
      <c r="I2531" s="8" t="s">
        <v>40</v>
      </c>
      <c r="J2531" s="9">
        <v>1</v>
      </c>
      <c r="K2531" s="9">
        <v>152</v>
      </c>
      <c r="L2531" s="9">
        <v>2024</v>
      </c>
      <c r="M2531" s="8" t="s">
        <v>14358</v>
      </c>
      <c r="N2531" s="8" t="s">
        <v>42</v>
      </c>
      <c r="O2531" s="8" t="s">
        <v>101</v>
      </c>
      <c r="P2531" s="6" t="s">
        <v>44</v>
      </c>
      <c r="Q2531" s="8" t="s">
        <v>45</v>
      </c>
      <c r="R2531" s="10" t="s">
        <v>3755</v>
      </c>
      <c r="S2531" s="11"/>
      <c r="T2531" s="6"/>
      <c r="U2531" s="24" t="str">
        <f>HYPERLINK("https://media.infra-m.ru/2117/2117134/cover/2117134.jpg", "Обложка")</f>
        <v>Обложка</v>
      </c>
      <c r="V2531" s="24" t="str">
        <f>HYPERLINK("https://znanium.ru/catalog/product/1059308", "Ознакомиться")</f>
        <v>Ознакомиться</v>
      </c>
      <c r="W2531" s="8" t="s">
        <v>191</v>
      </c>
      <c r="X2531" s="6"/>
      <c r="Y2531" s="6"/>
      <c r="Z2531" s="6"/>
      <c r="AA2531" s="6" t="s">
        <v>48</v>
      </c>
      <c r="AB2531" s="8"/>
    </row>
    <row r="2532" spans="1:28" s="4" customFormat="1" ht="42" customHeight="1">
      <c r="A2532" s="5">
        <v>0</v>
      </c>
      <c r="B2532" s="6" t="s">
        <v>14359</v>
      </c>
      <c r="C2532" s="7">
        <v>1092</v>
      </c>
      <c r="D2532" s="8" t="s">
        <v>14360</v>
      </c>
      <c r="E2532" s="8" t="s">
        <v>14361</v>
      </c>
      <c r="F2532" s="8" t="s">
        <v>14362</v>
      </c>
      <c r="G2532" s="6" t="s">
        <v>38</v>
      </c>
      <c r="H2532" s="6" t="s">
        <v>39</v>
      </c>
      <c r="I2532" s="8" t="s">
        <v>40</v>
      </c>
      <c r="J2532" s="9">
        <v>1</v>
      </c>
      <c r="K2532" s="9">
        <v>191</v>
      </c>
      <c r="L2532" s="9">
        <v>2024</v>
      </c>
      <c r="M2532" s="8" t="s">
        <v>14363</v>
      </c>
      <c r="N2532" s="8" t="s">
        <v>42</v>
      </c>
      <c r="O2532" s="8" t="s">
        <v>101</v>
      </c>
      <c r="P2532" s="6" t="s">
        <v>44</v>
      </c>
      <c r="Q2532" s="8" t="s">
        <v>45</v>
      </c>
      <c r="R2532" s="10" t="s">
        <v>6773</v>
      </c>
      <c r="S2532" s="11"/>
      <c r="T2532" s="6"/>
      <c r="U2532" s="24" t="str">
        <f>HYPERLINK("https://media.infra-m.ru/2135/2135246/cover/2135246.jpg", "Обложка")</f>
        <v>Обложка</v>
      </c>
      <c r="V2532" s="24" t="str">
        <f>HYPERLINK("https://znanium.ru/catalog/product/2135246", "Ознакомиться")</f>
        <v>Ознакомиться</v>
      </c>
      <c r="W2532" s="8" t="s">
        <v>1529</v>
      </c>
      <c r="X2532" s="6"/>
      <c r="Y2532" s="6"/>
      <c r="Z2532" s="6"/>
      <c r="AA2532" s="6" t="s">
        <v>168</v>
      </c>
      <c r="AB2532" s="8"/>
    </row>
    <row r="2533" spans="1:28" s="4" customFormat="1" ht="42" customHeight="1">
      <c r="A2533" s="5">
        <v>0</v>
      </c>
      <c r="B2533" s="6" t="s">
        <v>14364</v>
      </c>
      <c r="C2533" s="13">
        <v>904.8</v>
      </c>
      <c r="D2533" s="8" t="s">
        <v>14365</v>
      </c>
      <c r="E2533" s="8" t="s">
        <v>14366</v>
      </c>
      <c r="F2533" s="8" t="s">
        <v>14367</v>
      </c>
      <c r="G2533" s="6" t="s">
        <v>26</v>
      </c>
      <c r="H2533" s="6" t="s">
        <v>99</v>
      </c>
      <c r="I2533" s="8"/>
      <c r="J2533" s="9">
        <v>1</v>
      </c>
      <c r="K2533" s="9">
        <v>160</v>
      </c>
      <c r="L2533" s="9">
        <v>2025</v>
      </c>
      <c r="M2533" s="8" t="s">
        <v>14368</v>
      </c>
      <c r="N2533" s="8" t="s">
        <v>42</v>
      </c>
      <c r="O2533" s="8" t="s">
        <v>101</v>
      </c>
      <c r="P2533" s="6" t="s">
        <v>44</v>
      </c>
      <c r="Q2533" s="8" t="s">
        <v>45</v>
      </c>
      <c r="R2533" s="10" t="s">
        <v>874</v>
      </c>
      <c r="S2533" s="11"/>
      <c r="T2533" s="6"/>
      <c r="U2533" s="24" t="str">
        <f>HYPERLINK("https://media.infra-m.ru/2157/2157064/cover/2157064.jpg", "Обложка")</f>
        <v>Обложка</v>
      </c>
      <c r="V2533" s="24" t="str">
        <f>HYPERLINK("https://znanium.ru/catalog/product/1841422", "Ознакомиться")</f>
        <v>Ознакомиться</v>
      </c>
      <c r="W2533" s="8" t="s">
        <v>346</v>
      </c>
      <c r="X2533" s="6"/>
      <c r="Y2533" s="6"/>
      <c r="Z2533" s="6"/>
      <c r="AA2533" s="6" t="s">
        <v>94</v>
      </c>
      <c r="AB2533" s="8"/>
    </row>
    <row r="2534" spans="1:28" s="4" customFormat="1" ht="42" customHeight="1">
      <c r="A2534" s="5">
        <v>0</v>
      </c>
      <c r="B2534" s="6" t="s">
        <v>14369</v>
      </c>
      <c r="C2534" s="7">
        <v>1588.8</v>
      </c>
      <c r="D2534" s="8" t="s">
        <v>14370</v>
      </c>
      <c r="E2534" s="8" t="s">
        <v>14371</v>
      </c>
      <c r="F2534" s="8" t="s">
        <v>14372</v>
      </c>
      <c r="G2534" s="6" t="s">
        <v>132</v>
      </c>
      <c r="H2534" s="6" t="s">
        <v>99</v>
      </c>
      <c r="I2534" s="8"/>
      <c r="J2534" s="9">
        <v>1</v>
      </c>
      <c r="K2534" s="9">
        <v>240</v>
      </c>
      <c r="L2534" s="9">
        <v>2026</v>
      </c>
      <c r="M2534" s="8" t="s">
        <v>14373</v>
      </c>
      <c r="N2534" s="8" t="s">
        <v>42</v>
      </c>
      <c r="O2534" s="8" t="s">
        <v>101</v>
      </c>
      <c r="P2534" s="6" t="s">
        <v>44</v>
      </c>
      <c r="Q2534" s="8" t="s">
        <v>45</v>
      </c>
      <c r="R2534" s="10" t="s">
        <v>2137</v>
      </c>
      <c r="S2534" s="11"/>
      <c r="T2534" s="6"/>
      <c r="U2534" s="24" t="str">
        <f>HYPERLINK("https://media.infra-m.ru/2221/2221576/cover/2221576.jpg", "Обложка")</f>
        <v>Обложка</v>
      </c>
      <c r="V2534" s="24" t="str">
        <f>HYPERLINK("https://znanium.ru/catalog/product/1976050", "Ознакомиться")</f>
        <v>Ознакомиться</v>
      </c>
      <c r="W2534" s="8" t="s">
        <v>14374</v>
      </c>
      <c r="X2534" s="6"/>
      <c r="Y2534" s="6"/>
      <c r="Z2534" s="6"/>
      <c r="AA2534" s="6" t="s">
        <v>68</v>
      </c>
      <c r="AB2534" s="8"/>
    </row>
    <row r="2535" spans="1:28" s="4" customFormat="1" ht="42" customHeight="1">
      <c r="A2535" s="5">
        <v>0</v>
      </c>
      <c r="B2535" s="6" t="s">
        <v>14375</v>
      </c>
      <c r="C2535" s="7">
        <v>1188</v>
      </c>
      <c r="D2535" s="8" t="s">
        <v>14376</v>
      </c>
      <c r="E2535" s="8" t="s">
        <v>14377</v>
      </c>
      <c r="F2535" s="8" t="s">
        <v>14378</v>
      </c>
      <c r="G2535" s="6" t="s">
        <v>38</v>
      </c>
      <c r="H2535" s="6" t="s">
        <v>39</v>
      </c>
      <c r="I2535" s="8" t="s">
        <v>40</v>
      </c>
      <c r="J2535" s="9">
        <v>1</v>
      </c>
      <c r="K2535" s="9">
        <v>194</v>
      </c>
      <c r="L2535" s="9">
        <v>2024</v>
      </c>
      <c r="M2535" s="8" t="s">
        <v>14379</v>
      </c>
      <c r="N2535" s="8" t="s">
        <v>284</v>
      </c>
      <c r="O2535" s="8" t="s">
        <v>482</v>
      </c>
      <c r="P2535" s="6" t="s">
        <v>44</v>
      </c>
      <c r="Q2535" s="8" t="s">
        <v>45</v>
      </c>
      <c r="R2535" s="10" t="s">
        <v>6811</v>
      </c>
      <c r="S2535" s="11"/>
      <c r="T2535" s="6"/>
      <c r="U2535" s="24" t="str">
        <f>HYPERLINK("https://media.infra-m.ru/2113/2113296/cover/2113296.jpg", "Обложка")</f>
        <v>Обложка</v>
      </c>
      <c r="V2535" s="24" t="str">
        <f>HYPERLINK("https://znanium.ru/catalog/product/2113296", "Ознакомиться")</f>
        <v>Ознакомиться</v>
      </c>
      <c r="W2535" s="8" t="s">
        <v>14380</v>
      </c>
      <c r="X2535" s="6"/>
      <c r="Y2535" s="6"/>
      <c r="Z2535" s="6"/>
      <c r="AA2535" s="6" t="s">
        <v>58</v>
      </c>
      <c r="AB2535" s="8"/>
    </row>
    <row r="2536" spans="1:28" s="4" customFormat="1" ht="42" customHeight="1">
      <c r="A2536" s="5">
        <v>0</v>
      </c>
      <c r="B2536" s="6" t="s">
        <v>14381</v>
      </c>
      <c r="C2536" s="13">
        <v>892.8</v>
      </c>
      <c r="D2536" s="8" t="s">
        <v>14382</v>
      </c>
      <c r="E2536" s="8" t="s">
        <v>14383</v>
      </c>
      <c r="F2536" s="8" t="s">
        <v>7518</v>
      </c>
      <c r="G2536" s="6" t="s">
        <v>38</v>
      </c>
      <c r="H2536" s="6" t="s">
        <v>39</v>
      </c>
      <c r="I2536" s="8" t="s">
        <v>40</v>
      </c>
      <c r="J2536" s="9">
        <v>1</v>
      </c>
      <c r="K2536" s="9">
        <v>144</v>
      </c>
      <c r="L2536" s="9">
        <v>2025</v>
      </c>
      <c r="M2536" s="8" t="s">
        <v>14384</v>
      </c>
      <c r="N2536" s="8" t="s">
        <v>229</v>
      </c>
      <c r="O2536" s="8" t="s">
        <v>230</v>
      </c>
      <c r="P2536" s="6" t="s">
        <v>44</v>
      </c>
      <c r="Q2536" s="8" t="s">
        <v>45</v>
      </c>
      <c r="R2536" s="10" t="s">
        <v>14385</v>
      </c>
      <c r="S2536" s="11"/>
      <c r="T2536" s="6"/>
      <c r="U2536" s="24" t="str">
        <f>HYPERLINK("https://media.infra-m.ru/2217/2217979/cover/2217979.jpg", "Обложка")</f>
        <v>Обложка</v>
      </c>
      <c r="V2536" s="24" t="str">
        <f>HYPERLINK("https://znanium.ru/catalog/product/2074386", "Ознакомиться")</f>
        <v>Ознакомиться</v>
      </c>
      <c r="W2536" s="8" t="s">
        <v>535</v>
      </c>
      <c r="X2536" s="6"/>
      <c r="Y2536" s="6"/>
      <c r="Z2536" s="6"/>
      <c r="AA2536" s="6" t="s">
        <v>111</v>
      </c>
      <c r="AB2536" s="8"/>
    </row>
    <row r="2537" spans="1:28" s="4" customFormat="1" ht="51.95" customHeight="1">
      <c r="A2537" s="5">
        <v>0</v>
      </c>
      <c r="B2537" s="6" t="s">
        <v>14386</v>
      </c>
      <c r="C2537" s="13">
        <v>864</v>
      </c>
      <c r="D2537" s="8" t="s">
        <v>14387</v>
      </c>
      <c r="E2537" s="8" t="s">
        <v>14388</v>
      </c>
      <c r="F2537" s="8" t="s">
        <v>14389</v>
      </c>
      <c r="G2537" s="6" t="s">
        <v>38</v>
      </c>
      <c r="H2537" s="6" t="s">
        <v>39</v>
      </c>
      <c r="I2537" s="8" t="s">
        <v>40</v>
      </c>
      <c r="J2537" s="9">
        <v>1</v>
      </c>
      <c r="K2537" s="9">
        <v>157</v>
      </c>
      <c r="L2537" s="9">
        <v>2023</v>
      </c>
      <c r="M2537" s="8" t="s">
        <v>14390</v>
      </c>
      <c r="N2537" s="8" t="s">
        <v>284</v>
      </c>
      <c r="O2537" s="8" t="s">
        <v>2265</v>
      </c>
      <c r="P2537" s="6" t="s">
        <v>44</v>
      </c>
      <c r="Q2537" s="8" t="s">
        <v>45</v>
      </c>
      <c r="R2537" s="10" t="s">
        <v>14391</v>
      </c>
      <c r="S2537" s="11"/>
      <c r="T2537" s="6"/>
      <c r="U2537" s="24" t="str">
        <f>HYPERLINK("https://media.infra-m.ru/1893/1893845/cover/1893845.jpg", "Обложка")</f>
        <v>Обложка</v>
      </c>
      <c r="V2537" s="24" t="str">
        <f>HYPERLINK("https://znanium.ru/catalog/product/1893845", "Ознакомиться")</f>
        <v>Ознакомиться</v>
      </c>
      <c r="W2537" s="8" t="s">
        <v>13758</v>
      </c>
      <c r="X2537" s="6"/>
      <c r="Y2537" s="6"/>
      <c r="Z2537" s="6"/>
      <c r="AA2537" s="6" t="s">
        <v>377</v>
      </c>
      <c r="AB2537" s="8"/>
    </row>
    <row r="2538" spans="1:28" s="4" customFormat="1" ht="44.1" customHeight="1">
      <c r="A2538" s="5">
        <v>0</v>
      </c>
      <c r="B2538" s="6" t="s">
        <v>14392</v>
      </c>
      <c r="C2538" s="13">
        <v>828</v>
      </c>
      <c r="D2538" s="8" t="s">
        <v>14393</v>
      </c>
      <c r="E2538" s="8" t="s">
        <v>14394</v>
      </c>
      <c r="F2538" s="8" t="s">
        <v>6760</v>
      </c>
      <c r="G2538" s="6" t="s">
        <v>38</v>
      </c>
      <c r="H2538" s="6" t="s">
        <v>39</v>
      </c>
      <c r="I2538" s="8" t="s">
        <v>40</v>
      </c>
      <c r="J2538" s="9">
        <v>1</v>
      </c>
      <c r="K2538" s="9">
        <v>183</v>
      </c>
      <c r="L2538" s="9">
        <v>2022</v>
      </c>
      <c r="M2538" s="8" t="s">
        <v>14395</v>
      </c>
      <c r="N2538" s="8" t="s">
        <v>220</v>
      </c>
      <c r="O2538" s="8" t="s">
        <v>296</v>
      </c>
      <c r="P2538" s="6" t="s">
        <v>44</v>
      </c>
      <c r="Q2538" s="8" t="s">
        <v>45</v>
      </c>
      <c r="R2538" s="10" t="s">
        <v>14396</v>
      </c>
      <c r="S2538" s="11"/>
      <c r="T2538" s="6"/>
      <c r="U2538" s="24" t="str">
        <f>HYPERLINK("https://media.infra-m.ru/1316/1316649/cover/1316649.jpg", "Обложка")</f>
        <v>Обложка</v>
      </c>
      <c r="V2538" s="24" t="str">
        <f>HYPERLINK("https://znanium.ru/catalog/product/1316649", "Ознакомиться")</f>
        <v>Ознакомиться</v>
      </c>
      <c r="W2538" s="8" t="s">
        <v>191</v>
      </c>
      <c r="X2538" s="6"/>
      <c r="Y2538" s="6"/>
      <c r="Z2538" s="6"/>
      <c r="AA2538" s="6" t="s">
        <v>111</v>
      </c>
      <c r="AB2538" s="8"/>
    </row>
    <row r="2539" spans="1:28" s="4" customFormat="1" ht="44.1" customHeight="1">
      <c r="A2539" s="5">
        <v>0</v>
      </c>
      <c r="B2539" s="6" t="s">
        <v>14397</v>
      </c>
      <c r="C2539" s="13">
        <v>840</v>
      </c>
      <c r="D2539" s="8" t="s">
        <v>14398</v>
      </c>
      <c r="E2539" s="8" t="s">
        <v>14399</v>
      </c>
      <c r="F2539" s="8" t="s">
        <v>14400</v>
      </c>
      <c r="G2539" s="6" t="s">
        <v>81</v>
      </c>
      <c r="H2539" s="6" t="s">
        <v>182</v>
      </c>
      <c r="I2539" s="8"/>
      <c r="J2539" s="9">
        <v>1</v>
      </c>
      <c r="K2539" s="9">
        <v>155</v>
      </c>
      <c r="L2539" s="9">
        <v>2023</v>
      </c>
      <c r="M2539" s="8" t="s">
        <v>14401</v>
      </c>
      <c r="N2539" s="8" t="s">
        <v>284</v>
      </c>
      <c r="O2539" s="8" t="s">
        <v>285</v>
      </c>
      <c r="P2539" s="6" t="s">
        <v>44</v>
      </c>
      <c r="Q2539" s="8" t="s">
        <v>45</v>
      </c>
      <c r="R2539" s="10" t="s">
        <v>14402</v>
      </c>
      <c r="S2539" s="11"/>
      <c r="T2539" s="6"/>
      <c r="U2539" s="24" t="str">
        <f>HYPERLINK("https://media.infra-m.ru/1893/1893658/cover/1893658.jpg", "Обложка")</f>
        <v>Обложка</v>
      </c>
      <c r="V2539" s="24" t="str">
        <f>HYPERLINK("https://znanium.ru/catalog/product/1893658", "Ознакомиться")</f>
        <v>Ознакомиться</v>
      </c>
      <c r="W2539" s="8" t="s">
        <v>4768</v>
      </c>
      <c r="X2539" s="6"/>
      <c r="Y2539" s="6"/>
      <c r="Z2539" s="6"/>
      <c r="AA2539" s="6" t="s">
        <v>68</v>
      </c>
      <c r="AB2539" s="8"/>
    </row>
    <row r="2540" spans="1:28" s="4" customFormat="1" ht="44.1" customHeight="1">
      <c r="A2540" s="5">
        <v>0</v>
      </c>
      <c r="B2540" s="6" t="s">
        <v>14403</v>
      </c>
      <c r="C2540" s="13">
        <v>792</v>
      </c>
      <c r="D2540" s="8" t="s">
        <v>14404</v>
      </c>
      <c r="E2540" s="8" t="s">
        <v>14405</v>
      </c>
      <c r="F2540" s="8" t="s">
        <v>10289</v>
      </c>
      <c r="G2540" s="6" t="s">
        <v>38</v>
      </c>
      <c r="H2540" s="6" t="s">
        <v>182</v>
      </c>
      <c r="I2540" s="8" t="s">
        <v>40</v>
      </c>
      <c r="J2540" s="9">
        <v>1</v>
      </c>
      <c r="K2540" s="9">
        <v>171</v>
      </c>
      <c r="L2540" s="9">
        <v>2021</v>
      </c>
      <c r="M2540" s="8" t="s">
        <v>14406</v>
      </c>
      <c r="N2540" s="8" t="s">
        <v>42</v>
      </c>
      <c r="O2540" s="8" t="s">
        <v>246</v>
      </c>
      <c r="P2540" s="6" t="s">
        <v>44</v>
      </c>
      <c r="Q2540" s="8" t="s">
        <v>45</v>
      </c>
      <c r="R2540" s="10" t="s">
        <v>14407</v>
      </c>
      <c r="S2540" s="11"/>
      <c r="T2540" s="6"/>
      <c r="U2540" s="24" t="str">
        <f>HYPERLINK("https://media.infra-m.ru/1816/1816808/cover/1816808.jpg", "Обложка")</f>
        <v>Обложка</v>
      </c>
      <c r="V2540" s="12"/>
      <c r="W2540" s="8" t="s">
        <v>10291</v>
      </c>
      <c r="X2540" s="6"/>
      <c r="Y2540" s="6"/>
      <c r="Z2540" s="6"/>
      <c r="AA2540" s="6" t="s">
        <v>1363</v>
      </c>
      <c r="AB2540" s="8"/>
    </row>
    <row r="2541" spans="1:28" s="4" customFormat="1" ht="44.1" customHeight="1">
      <c r="A2541" s="5">
        <v>0</v>
      </c>
      <c r="B2541" s="6" t="s">
        <v>14408</v>
      </c>
      <c r="C2541" s="13">
        <v>960</v>
      </c>
      <c r="D2541" s="8" t="s">
        <v>14409</v>
      </c>
      <c r="E2541" s="8" t="s">
        <v>14410</v>
      </c>
      <c r="F2541" s="8" t="s">
        <v>14411</v>
      </c>
      <c r="G2541" s="6" t="s">
        <v>81</v>
      </c>
      <c r="H2541" s="6" t="s">
        <v>39</v>
      </c>
      <c r="I2541" s="8" t="s">
        <v>344</v>
      </c>
      <c r="J2541" s="9">
        <v>1</v>
      </c>
      <c r="K2541" s="9">
        <v>175</v>
      </c>
      <c r="L2541" s="9">
        <v>2024</v>
      </c>
      <c r="M2541" s="8" t="s">
        <v>14412</v>
      </c>
      <c r="N2541" s="8" t="s">
        <v>42</v>
      </c>
      <c r="O2541" s="8" t="s">
        <v>246</v>
      </c>
      <c r="P2541" s="6" t="s">
        <v>44</v>
      </c>
      <c r="Q2541" s="8" t="s">
        <v>45</v>
      </c>
      <c r="R2541" s="10" t="s">
        <v>14413</v>
      </c>
      <c r="S2541" s="11"/>
      <c r="T2541" s="6"/>
      <c r="U2541" s="24" t="str">
        <f>HYPERLINK("https://media.infra-m.ru/2069/2069324/cover/2069324.jpg", "Обложка")</f>
        <v>Обложка</v>
      </c>
      <c r="V2541" s="12"/>
      <c r="W2541" s="8" t="s">
        <v>346</v>
      </c>
      <c r="X2541" s="6"/>
      <c r="Y2541" s="6"/>
      <c r="Z2541" s="6"/>
      <c r="AA2541" s="6" t="s">
        <v>68</v>
      </c>
      <c r="AB2541" s="8"/>
    </row>
    <row r="2542" spans="1:28" s="4" customFormat="1" ht="44.1" customHeight="1">
      <c r="A2542" s="5">
        <v>0</v>
      </c>
      <c r="B2542" s="6" t="s">
        <v>14414</v>
      </c>
      <c r="C2542" s="7">
        <v>1356</v>
      </c>
      <c r="D2542" s="8" t="s">
        <v>14415</v>
      </c>
      <c r="E2542" s="8" t="s">
        <v>14416</v>
      </c>
      <c r="F2542" s="8" t="s">
        <v>14417</v>
      </c>
      <c r="G2542" s="6" t="s">
        <v>38</v>
      </c>
      <c r="H2542" s="6" t="s">
        <v>39</v>
      </c>
      <c r="I2542" s="8" t="s">
        <v>40</v>
      </c>
      <c r="J2542" s="9">
        <v>1</v>
      </c>
      <c r="K2542" s="9">
        <v>225</v>
      </c>
      <c r="L2542" s="9">
        <v>2025</v>
      </c>
      <c r="M2542" s="8" t="s">
        <v>14418</v>
      </c>
      <c r="N2542" s="8" t="s">
        <v>229</v>
      </c>
      <c r="O2542" s="8" t="s">
        <v>230</v>
      </c>
      <c r="P2542" s="6" t="s">
        <v>44</v>
      </c>
      <c r="Q2542" s="8" t="s">
        <v>45</v>
      </c>
      <c r="R2542" s="10" t="s">
        <v>7513</v>
      </c>
      <c r="S2542" s="11"/>
      <c r="T2542" s="6"/>
      <c r="U2542" s="24" t="str">
        <f>HYPERLINK("https://media.infra-m.ru/2133/2133678/cover/2133678.jpg", "Обложка")</f>
        <v>Обложка</v>
      </c>
      <c r="V2542" s="24" t="str">
        <f>HYPERLINK("https://znanium.ru/catalog/product/2133678", "Ознакомиться")</f>
        <v>Ознакомиться</v>
      </c>
      <c r="W2542" s="8" t="s">
        <v>10329</v>
      </c>
      <c r="X2542" s="6"/>
      <c r="Y2542" s="6"/>
      <c r="Z2542" s="6"/>
      <c r="AA2542" s="6" t="s">
        <v>159</v>
      </c>
      <c r="AB2542" s="8"/>
    </row>
    <row r="2543" spans="1:28" s="4" customFormat="1" ht="42" customHeight="1">
      <c r="A2543" s="5">
        <v>0</v>
      </c>
      <c r="B2543" s="6" t="s">
        <v>14419</v>
      </c>
      <c r="C2543" s="7">
        <v>1152</v>
      </c>
      <c r="D2543" s="8" t="s">
        <v>14420</v>
      </c>
      <c r="E2543" s="8" t="s">
        <v>14421</v>
      </c>
      <c r="F2543" s="8" t="s">
        <v>14422</v>
      </c>
      <c r="G2543" s="6" t="s">
        <v>38</v>
      </c>
      <c r="H2543" s="6" t="s">
        <v>39</v>
      </c>
      <c r="I2543" s="8" t="s">
        <v>40</v>
      </c>
      <c r="J2543" s="9">
        <v>1</v>
      </c>
      <c r="K2543" s="9">
        <v>173</v>
      </c>
      <c r="L2543" s="9">
        <v>2025</v>
      </c>
      <c r="M2543" s="8" t="s">
        <v>14423</v>
      </c>
      <c r="N2543" s="8" t="s">
        <v>229</v>
      </c>
      <c r="O2543" s="8" t="s">
        <v>230</v>
      </c>
      <c r="P2543" s="6" t="s">
        <v>44</v>
      </c>
      <c r="Q2543" s="8" t="s">
        <v>45</v>
      </c>
      <c r="R2543" s="10" t="s">
        <v>7893</v>
      </c>
      <c r="S2543" s="11"/>
      <c r="T2543" s="6"/>
      <c r="U2543" s="24" t="str">
        <f>HYPERLINK("https://media.infra-m.ru/2174/2174817/cover/2174817.jpg", "Обложка")</f>
        <v>Обложка</v>
      </c>
      <c r="V2543" s="24" t="str">
        <f>HYPERLINK("https://znanium.ru/catalog/product/2174817", "Ознакомиться")</f>
        <v>Ознакомиться</v>
      </c>
      <c r="W2543" s="8" t="s">
        <v>7142</v>
      </c>
      <c r="X2543" s="6" t="s">
        <v>320</v>
      </c>
      <c r="Y2543" s="6"/>
      <c r="Z2543" s="6"/>
      <c r="AA2543" s="6" t="s">
        <v>159</v>
      </c>
      <c r="AB2543" s="8"/>
    </row>
    <row r="2544" spans="1:28" s="4" customFormat="1" ht="42" customHeight="1">
      <c r="A2544" s="5">
        <v>0</v>
      </c>
      <c r="B2544" s="6" t="s">
        <v>14424</v>
      </c>
      <c r="C2544" s="7">
        <v>1109.9000000000001</v>
      </c>
      <c r="D2544" s="8" t="s">
        <v>14425</v>
      </c>
      <c r="E2544" s="8" t="s">
        <v>14426</v>
      </c>
      <c r="F2544" s="8" t="s">
        <v>14427</v>
      </c>
      <c r="G2544" s="6" t="s">
        <v>132</v>
      </c>
      <c r="H2544" s="6" t="s">
        <v>39</v>
      </c>
      <c r="I2544" s="8" t="s">
        <v>40</v>
      </c>
      <c r="J2544" s="9">
        <v>1</v>
      </c>
      <c r="K2544" s="9">
        <v>206</v>
      </c>
      <c r="L2544" s="9">
        <v>2023</v>
      </c>
      <c r="M2544" s="8" t="s">
        <v>14428</v>
      </c>
      <c r="N2544" s="8" t="s">
        <v>42</v>
      </c>
      <c r="O2544" s="8" t="s">
        <v>65</v>
      </c>
      <c r="P2544" s="6" t="s">
        <v>44</v>
      </c>
      <c r="Q2544" s="8" t="s">
        <v>45</v>
      </c>
      <c r="R2544" s="10" t="s">
        <v>12244</v>
      </c>
      <c r="S2544" s="11"/>
      <c r="T2544" s="6" t="s">
        <v>1080</v>
      </c>
      <c r="U2544" s="24" t="str">
        <f>HYPERLINK("https://media.infra-m.ru/2002/2002630/cover/2002630.jpg", "Обложка")</f>
        <v>Обложка</v>
      </c>
      <c r="V2544" s="24" t="str">
        <f>HYPERLINK("https://znanium.ru/catalog/product/951722", "Ознакомиться")</f>
        <v>Ознакомиться</v>
      </c>
      <c r="W2544" s="8" t="s">
        <v>167</v>
      </c>
      <c r="X2544" s="6"/>
      <c r="Y2544" s="6"/>
      <c r="Z2544" s="6"/>
      <c r="AA2544" s="6" t="s">
        <v>369</v>
      </c>
      <c r="AB2544" s="8" t="s">
        <v>653</v>
      </c>
    </row>
    <row r="2545" spans="1:28" s="4" customFormat="1" ht="51.95" customHeight="1">
      <c r="A2545" s="5">
        <v>0</v>
      </c>
      <c r="B2545" s="6" t="s">
        <v>14429</v>
      </c>
      <c r="C2545" s="13">
        <v>588</v>
      </c>
      <c r="D2545" s="8" t="s">
        <v>14430</v>
      </c>
      <c r="E2545" s="8" t="s">
        <v>14431</v>
      </c>
      <c r="F2545" s="8" t="s">
        <v>14432</v>
      </c>
      <c r="G2545" s="6" t="s">
        <v>38</v>
      </c>
      <c r="H2545" s="6" t="s">
        <v>39</v>
      </c>
      <c r="I2545" s="8" t="s">
        <v>40</v>
      </c>
      <c r="J2545" s="9">
        <v>1</v>
      </c>
      <c r="K2545" s="9">
        <v>94</v>
      </c>
      <c r="L2545" s="9">
        <v>2023</v>
      </c>
      <c r="M2545" s="8" t="s">
        <v>14433</v>
      </c>
      <c r="N2545" s="8" t="s">
        <v>42</v>
      </c>
      <c r="O2545" s="8" t="s">
        <v>246</v>
      </c>
      <c r="P2545" s="6" t="s">
        <v>44</v>
      </c>
      <c r="Q2545" s="8" t="s">
        <v>45</v>
      </c>
      <c r="R2545" s="10" t="s">
        <v>14434</v>
      </c>
      <c r="S2545" s="11"/>
      <c r="T2545" s="6"/>
      <c r="U2545" s="24" t="str">
        <f>HYPERLINK("https://media.infra-m.ru/1971/1971840/cover/1971840.jpg", "Обложка")</f>
        <v>Обложка</v>
      </c>
      <c r="V2545" s="24" t="str">
        <f>HYPERLINK("https://znanium.ru/catalog/product/1971840", "Ознакомиться")</f>
        <v>Ознакомиться</v>
      </c>
      <c r="W2545" s="8" t="s">
        <v>3948</v>
      </c>
      <c r="X2545" s="6"/>
      <c r="Y2545" s="6"/>
      <c r="Z2545" s="6"/>
      <c r="AA2545" s="6" t="s">
        <v>377</v>
      </c>
      <c r="AB2545" s="8"/>
    </row>
    <row r="2546" spans="1:28" s="4" customFormat="1" ht="42" customHeight="1">
      <c r="A2546" s="5">
        <v>0</v>
      </c>
      <c r="B2546" s="6" t="s">
        <v>14435</v>
      </c>
      <c r="C2546" s="7">
        <v>1008</v>
      </c>
      <c r="D2546" s="8" t="s">
        <v>14436</v>
      </c>
      <c r="E2546" s="8" t="s">
        <v>14437</v>
      </c>
      <c r="F2546" s="8" t="s">
        <v>14438</v>
      </c>
      <c r="G2546" s="6" t="s">
        <v>38</v>
      </c>
      <c r="H2546" s="6" t="s">
        <v>39</v>
      </c>
      <c r="I2546" s="8" t="s">
        <v>40</v>
      </c>
      <c r="J2546" s="9">
        <v>1</v>
      </c>
      <c r="K2546" s="9">
        <v>181</v>
      </c>
      <c r="L2546" s="9">
        <v>2024</v>
      </c>
      <c r="M2546" s="8" t="s">
        <v>14439</v>
      </c>
      <c r="N2546" s="8" t="s">
        <v>42</v>
      </c>
      <c r="O2546" s="8" t="s">
        <v>101</v>
      </c>
      <c r="P2546" s="6" t="s">
        <v>44</v>
      </c>
      <c r="Q2546" s="8" t="s">
        <v>45</v>
      </c>
      <c r="R2546" s="10" t="s">
        <v>14440</v>
      </c>
      <c r="S2546" s="11"/>
      <c r="T2546" s="6"/>
      <c r="U2546" s="24" t="str">
        <f>HYPERLINK("https://media.infra-m.ru/2117/2117129/cover/2117129.jpg", "Обложка")</f>
        <v>Обложка</v>
      </c>
      <c r="V2546" s="24" t="str">
        <f>HYPERLINK("https://znanium.ru/catalog/product/2117129", "Ознакомиться")</f>
        <v>Ознакомиться</v>
      </c>
      <c r="W2546" s="8" t="s">
        <v>223</v>
      </c>
      <c r="X2546" s="6"/>
      <c r="Y2546" s="6"/>
      <c r="Z2546" s="6"/>
      <c r="AA2546" s="6" t="s">
        <v>68</v>
      </c>
      <c r="AB2546" s="8"/>
    </row>
    <row r="2547" spans="1:28" s="4" customFormat="1" ht="42" customHeight="1">
      <c r="A2547" s="5">
        <v>0</v>
      </c>
      <c r="B2547" s="6" t="s">
        <v>14441</v>
      </c>
      <c r="C2547" s="7">
        <v>1000.8</v>
      </c>
      <c r="D2547" s="8" t="s">
        <v>14442</v>
      </c>
      <c r="E2547" s="8" t="s">
        <v>14443</v>
      </c>
      <c r="F2547" s="8" t="s">
        <v>14444</v>
      </c>
      <c r="G2547" s="6" t="s">
        <v>38</v>
      </c>
      <c r="H2547" s="6" t="s">
        <v>39</v>
      </c>
      <c r="I2547" s="8" t="s">
        <v>40</v>
      </c>
      <c r="J2547" s="9">
        <v>1</v>
      </c>
      <c r="K2547" s="9">
        <v>181</v>
      </c>
      <c r="L2547" s="9">
        <v>2024</v>
      </c>
      <c r="M2547" s="8" t="s">
        <v>14445</v>
      </c>
      <c r="N2547" s="8" t="s">
        <v>229</v>
      </c>
      <c r="O2547" s="8" t="s">
        <v>230</v>
      </c>
      <c r="P2547" s="6" t="s">
        <v>44</v>
      </c>
      <c r="Q2547" s="8" t="s">
        <v>45</v>
      </c>
      <c r="R2547" s="10" t="s">
        <v>874</v>
      </c>
      <c r="S2547" s="11"/>
      <c r="T2547" s="6"/>
      <c r="U2547" s="24" t="str">
        <f>HYPERLINK("https://media.infra-m.ru/2120/2120777/cover/2120777.jpg", "Обложка")</f>
        <v>Обложка</v>
      </c>
      <c r="V2547" s="24" t="str">
        <f>HYPERLINK("https://znanium.ru/catalog/product/2120777", "Ознакомиться")</f>
        <v>Ознакомиться</v>
      </c>
      <c r="W2547" s="8" t="s">
        <v>403</v>
      </c>
      <c r="X2547" s="6"/>
      <c r="Y2547" s="6"/>
      <c r="Z2547" s="6"/>
      <c r="AA2547" s="6" t="s">
        <v>339</v>
      </c>
      <c r="AB2547" s="8"/>
    </row>
    <row r="2548" spans="1:28" s="4" customFormat="1" ht="51.95" customHeight="1">
      <c r="A2548" s="5">
        <v>0</v>
      </c>
      <c r="B2548" s="6" t="s">
        <v>14446</v>
      </c>
      <c r="C2548" s="7">
        <v>1356</v>
      </c>
      <c r="D2548" s="8" t="s">
        <v>14447</v>
      </c>
      <c r="E2548" s="8" t="s">
        <v>14448</v>
      </c>
      <c r="F2548" s="8" t="s">
        <v>12827</v>
      </c>
      <c r="G2548" s="6" t="s">
        <v>38</v>
      </c>
      <c r="H2548" s="6" t="s">
        <v>39</v>
      </c>
      <c r="I2548" s="8" t="s">
        <v>40</v>
      </c>
      <c r="J2548" s="9">
        <v>1</v>
      </c>
      <c r="K2548" s="9">
        <v>244</v>
      </c>
      <c r="L2548" s="9">
        <v>2024</v>
      </c>
      <c r="M2548" s="8" t="s">
        <v>14449</v>
      </c>
      <c r="N2548" s="8" t="s">
        <v>42</v>
      </c>
      <c r="O2548" s="8" t="s">
        <v>246</v>
      </c>
      <c r="P2548" s="6" t="s">
        <v>44</v>
      </c>
      <c r="Q2548" s="8" t="s">
        <v>45</v>
      </c>
      <c r="R2548" s="10" t="s">
        <v>14450</v>
      </c>
      <c r="S2548" s="11"/>
      <c r="T2548" s="6"/>
      <c r="U2548" s="24" t="str">
        <f>HYPERLINK("https://media.infra-m.ru/2117/2117151/cover/2117151.jpg", "Обложка")</f>
        <v>Обложка</v>
      </c>
      <c r="V2548" s="24" t="str">
        <f>HYPERLINK("https://znanium.ru/catalog/product/2117151", "Ознакомиться")</f>
        <v>Ознакомиться</v>
      </c>
      <c r="W2548" s="8" t="s">
        <v>207</v>
      </c>
      <c r="X2548" s="6"/>
      <c r="Y2548" s="6"/>
      <c r="Z2548" s="6"/>
      <c r="AA2548" s="6" t="s">
        <v>339</v>
      </c>
      <c r="AB2548" s="8"/>
    </row>
    <row r="2549" spans="1:28" s="4" customFormat="1" ht="44.1" customHeight="1">
      <c r="A2549" s="5">
        <v>0</v>
      </c>
      <c r="B2549" s="6" t="s">
        <v>14451</v>
      </c>
      <c r="C2549" s="7">
        <v>1464</v>
      </c>
      <c r="D2549" s="8" t="s">
        <v>14452</v>
      </c>
      <c r="E2549" s="8" t="s">
        <v>14453</v>
      </c>
      <c r="F2549" s="8" t="s">
        <v>14454</v>
      </c>
      <c r="G2549" s="6" t="s">
        <v>38</v>
      </c>
      <c r="H2549" s="6" t="s">
        <v>39</v>
      </c>
      <c r="I2549" s="8" t="s">
        <v>336</v>
      </c>
      <c r="J2549" s="9">
        <v>1</v>
      </c>
      <c r="K2549" s="9">
        <v>264</v>
      </c>
      <c r="L2549" s="9">
        <v>2024</v>
      </c>
      <c r="M2549" s="8" t="s">
        <v>14455</v>
      </c>
      <c r="N2549" s="8" t="s">
        <v>42</v>
      </c>
      <c r="O2549" s="8" t="s">
        <v>101</v>
      </c>
      <c r="P2549" s="6" t="s">
        <v>44</v>
      </c>
      <c r="Q2549" s="8" t="s">
        <v>45</v>
      </c>
      <c r="R2549" s="10" t="s">
        <v>1657</v>
      </c>
      <c r="S2549" s="11"/>
      <c r="T2549" s="6"/>
      <c r="U2549" s="24" t="str">
        <f>HYPERLINK("https://media.infra-m.ru/2084/2084488/cover/2084488.jpg", "Обложка")</f>
        <v>Обложка</v>
      </c>
      <c r="V2549" s="24" t="str">
        <f>HYPERLINK("https://znanium.ru/catalog/product/2084488", "Ознакомиться")</f>
        <v>Ознакомиться</v>
      </c>
      <c r="W2549" s="8" t="s">
        <v>103</v>
      </c>
      <c r="X2549" s="6"/>
      <c r="Y2549" s="6"/>
      <c r="Z2549" s="6"/>
      <c r="AA2549" s="6" t="s">
        <v>199</v>
      </c>
      <c r="AB2549" s="8"/>
    </row>
    <row r="2550" spans="1:28" s="4" customFormat="1" ht="44.1" customHeight="1">
      <c r="A2550" s="5">
        <v>0</v>
      </c>
      <c r="B2550" s="6" t="s">
        <v>14456</v>
      </c>
      <c r="C2550" s="13">
        <v>540</v>
      </c>
      <c r="D2550" s="8" t="s">
        <v>14457</v>
      </c>
      <c r="E2550" s="8" t="s">
        <v>14458</v>
      </c>
      <c r="F2550" s="8" t="s">
        <v>14459</v>
      </c>
      <c r="G2550" s="6" t="s">
        <v>38</v>
      </c>
      <c r="H2550" s="6" t="s">
        <v>39</v>
      </c>
      <c r="I2550" s="8" t="s">
        <v>40</v>
      </c>
      <c r="J2550" s="9">
        <v>1</v>
      </c>
      <c r="K2550" s="9">
        <v>117</v>
      </c>
      <c r="L2550" s="9">
        <v>2020</v>
      </c>
      <c r="M2550" s="8" t="s">
        <v>14460</v>
      </c>
      <c r="N2550" s="8" t="s">
        <v>229</v>
      </c>
      <c r="O2550" s="8" t="s">
        <v>230</v>
      </c>
      <c r="P2550" s="6" t="s">
        <v>44</v>
      </c>
      <c r="Q2550" s="8" t="s">
        <v>45</v>
      </c>
      <c r="R2550" s="10" t="s">
        <v>14461</v>
      </c>
      <c r="S2550" s="11"/>
      <c r="T2550" s="6"/>
      <c r="U2550" s="24" t="str">
        <f>HYPERLINK("https://media.infra-m.ru/1043/1043103/cover/1043103.jpg", "Обложка")</f>
        <v>Обложка</v>
      </c>
      <c r="V2550" s="24" t="str">
        <f>HYPERLINK("https://znanium.ru/catalog/product/1043103", "Ознакомиться")</f>
        <v>Ознакомиться</v>
      </c>
      <c r="W2550" s="8" t="s">
        <v>6418</v>
      </c>
      <c r="X2550" s="6"/>
      <c r="Y2550" s="6"/>
      <c r="Z2550" s="6"/>
      <c r="AA2550" s="6" t="s">
        <v>168</v>
      </c>
      <c r="AB2550" s="8"/>
    </row>
    <row r="2551" spans="1:28" s="4" customFormat="1" ht="51.95" customHeight="1">
      <c r="A2551" s="5">
        <v>0</v>
      </c>
      <c r="B2551" s="6" t="s">
        <v>14462</v>
      </c>
      <c r="C2551" s="13">
        <v>600</v>
      </c>
      <c r="D2551" s="8" t="s">
        <v>14463</v>
      </c>
      <c r="E2551" s="8" t="s">
        <v>14464</v>
      </c>
      <c r="F2551" s="8" t="s">
        <v>14465</v>
      </c>
      <c r="G2551" s="6" t="s">
        <v>38</v>
      </c>
      <c r="H2551" s="6" t="s">
        <v>1019</v>
      </c>
      <c r="I2551" s="8" t="s">
        <v>1020</v>
      </c>
      <c r="J2551" s="9">
        <v>1</v>
      </c>
      <c r="K2551" s="9">
        <v>160</v>
      </c>
      <c r="L2551" s="9">
        <v>2018</v>
      </c>
      <c r="M2551" s="8" t="s">
        <v>14466</v>
      </c>
      <c r="N2551" s="8" t="s">
        <v>42</v>
      </c>
      <c r="O2551" s="8" t="s">
        <v>189</v>
      </c>
      <c r="P2551" s="6" t="s">
        <v>44</v>
      </c>
      <c r="Q2551" s="8" t="s">
        <v>45</v>
      </c>
      <c r="R2551" s="10" t="s">
        <v>14467</v>
      </c>
      <c r="S2551" s="11"/>
      <c r="T2551" s="6"/>
      <c r="U2551" s="24" t="str">
        <f>HYPERLINK("https://media.infra-m.ru/0927/0927075/cover/927075.jpg", "Обложка")</f>
        <v>Обложка</v>
      </c>
      <c r="V2551" s="24" t="str">
        <f>HYPERLINK("https://znanium.ru/catalog/product/927075", "Ознакомиться")</f>
        <v>Ознакомиться</v>
      </c>
      <c r="W2551" s="8" t="s">
        <v>167</v>
      </c>
      <c r="X2551" s="6"/>
      <c r="Y2551" s="6"/>
      <c r="Z2551" s="6"/>
      <c r="AA2551" s="6" t="s">
        <v>369</v>
      </c>
      <c r="AB2551" s="8"/>
    </row>
    <row r="2552" spans="1:28" s="4" customFormat="1" ht="51.95" customHeight="1">
      <c r="A2552" s="5">
        <v>0</v>
      </c>
      <c r="B2552" s="6" t="s">
        <v>14468</v>
      </c>
      <c r="C2552" s="7">
        <v>1176</v>
      </c>
      <c r="D2552" s="8" t="s">
        <v>14469</v>
      </c>
      <c r="E2552" s="8" t="s">
        <v>14470</v>
      </c>
      <c r="F2552" s="8" t="s">
        <v>6030</v>
      </c>
      <c r="G2552" s="6" t="s">
        <v>38</v>
      </c>
      <c r="H2552" s="6" t="s">
        <v>39</v>
      </c>
      <c r="I2552" s="8" t="s">
        <v>40</v>
      </c>
      <c r="J2552" s="9">
        <v>1</v>
      </c>
      <c r="K2552" s="9">
        <v>217</v>
      </c>
      <c r="L2552" s="9">
        <v>2023</v>
      </c>
      <c r="M2552" s="8" t="s">
        <v>14471</v>
      </c>
      <c r="N2552" s="8" t="s">
        <v>42</v>
      </c>
      <c r="O2552" s="8" t="s">
        <v>246</v>
      </c>
      <c r="P2552" s="6" t="s">
        <v>44</v>
      </c>
      <c r="Q2552" s="8" t="s">
        <v>45</v>
      </c>
      <c r="R2552" s="10" t="s">
        <v>14472</v>
      </c>
      <c r="S2552" s="11"/>
      <c r="T2552" s="6"/>
      <c r="U2552" s="24" t="str">
        <f>HYPERLINK("https://media.infra-m.ru/1905/1905601/cover/1905601.jpg", "Обложка")</f>
        <v>Обложка</v>
      </c>
      <c r="V2552" s="24" t="str">
        <f>HYPERLINK("https://znanium.ru/catalog/product/1905601", "Ознакомиться")</f>
        <v>Ознакомиться</v>
      </c>
      <c r="W2552" s="8" t="s">
        <v>5050</v>
      </c>
      <c r="X2552" s="6"/>
      <c r="Y2552" s="6"/>
      <c r="Z2552" s="6"/>
      <c r="AA2552" s="6" t="s">
        <v>339</v>
      </c>
      <c r="AB2552" s="8"/>
    </row>
    <row r="2553" spans="1:28" s="4" customFormat="1" ht="44.1" customHeight="1">
      <c r="A2553" s="5">
        <v>0</v>
      </c>
      <c r="B2553" s="6" t="s">
        <v>14473</v>
      </c>
      <c r="C2553" s="7">
        <v>1224</v>
      </c>
      <c r="D2553" s="8" t="s">
        <v>14474</v>
      </c>
      <c r="E2553" s="8" t="s">
        <v>14475</v>
      </c>
      <c r="F2553" s="8" t="s">
        <v>14476</v>
      </c>
      <c r="G2553" s="6" t="s">
        <v>38</v>
      </c>
      <c r="H2553" s="6" t="s">
        <v>39</v>
      </c>
      <c r="I2553" s="8" t="s">
        <v>40</v>
      </c>
      <c r="J2553" s="9">
        <v>1</v>
      </c>
      <c r="K2553" s="9">
        <v>215</v>
      </c>
      <c r="L2553" s="9">
        <v>2023</v>
      </c>
      <c r="M2553" s="8" t="s">
        <v>14477</v>
      </c>
      <c r="N2553" s="8" t="s">
        <v>42</v>
      </c>
      <c r="O2553" s="8" t="s">
        <v>246</v>
      </c>
      <c r="P2553" s="6" t="s">
        <v>44</v>
      </c>
      <c r="Q2553" s="8" t="s">
        <v>45</v>
      </c>
      <c r="R2553" s="10" t="s">
        <v>206</v>
      </c>
      <c r="S2553" s="11"/>
      <c r="T2553" s="6"/>
      <c r="U2553" s="24" t="str">
        <f>HYPERLINK("https://media.infra-m.ru/1989/1989211/cover/1989211.jpg", "Обложка")</f>
        <v>Обложка</v>
      </c>
      <c r="V2553" s="24" t="str">
        <f>HYPERLINK("https://znanium.ru/catalog/product/1989211", "Ознакомиться")</f>
        <v>Ознакомиться</v>
      </c>
      <c r="W2553" s="8" t="s">
        <v>732</v>
      </c>
      <c r="X2553" s="6"/>
      <c r="Y2553" s="6"/>
      <c r="Z2553" s="6"/>
      <c r="AA2553" s="6" t="s">
        <v>119</v>
      </c>
      <c r="AB2553" s="8"/>
    </row>
    <row r="2554" spans="1:28" s="4" customFormat="1" ht="42" customHeight="1">
      <c r="A2554" s="5">
        <v>0</v>
      </c>
      <c r="B2554" s="6" t="s">
        <v>14478</v>
      </c>
      <c r="C2554" s="13">
        <v>917.9</v>
      </c>
      <c r="D2554" s="8" t="s">
        <v>14479</v>
      </c>
      <c r="E2554" s="8" t="s">
        <v>14480</v>
      </c>
      <c r="F2554" s="8" t="s">
        <v>2278</v>
      </c>
      <c r="G2554" s="6" t="s">
        <v>132</v>
      </c>
      <c r="H2554" s="6" t="s">
        <v>99</v>
      </c>
      <c r="I2554" s="8"/>
      <c r="J2554" s="9">
        <v>1</v>
      </c>
      <c r="K2554" s="9">
        <v>208</v>
      </c>
      <c r="L2554" s="9">
        <v>2020</v>
      </c>
      <c r="M2554" s="8" t="s">
        <v>14481</v>
      </c>
      <c r="N2554" s="8" t="s">
        <v>42</v>
      </c>
      <c r="O2554" s="8" t="s">
        <v>101</v>
      </c>
      <c r="P2554" s="6" t="s">
        <v>44</v>
      </c>
      <c r="Q2554" s="8" t="s">
        <v>45</v>
      </c>
      <c r="R2554" s="10"/>
      <c r="S2554" s="11"/>
      <c r="T2554" s="6"/>
      <c r="U2554" s="24" t="str">
        <f>HYPERLINK("https://media.infra-m.ru/1074/1074289/cover/1074289.jpg", "Обложка")</f>
        <v>Обложка</v>
      </c>
      <c r="V2554" s="24" t="str">
        <f>HYPERLINK("https://znanium.ru/catalog/product/929118", "Ознакомиться")</f>
        <v>Ознакомиться</v>
      </c>
      <c r="W2554" s="8" t="s">
        <v>2281</v>
      </c>
      <c r="X2554" s="6"/>
      <c r="Y2554" s="6"/>
      <c r="Z2554" s="6"/>
      <c r="AA2554" s="6" t="s">
        <v>68</v>
      </c>
      <c r="AB2554" s="8"/>
    </row>
    <row r="2555" spans="1:28" s="4" customFormat="1" ht="44.1" customHeight="1">
      <c r="A2555" s="5">
        <v>0</v>
      </c>
      <c r="B2555" s="6" t="s">
        <v>14482</v>
      </c>
      <c r="C2555" s="7">
        <v>1020</v>
      </c>
      <c r="D2555" s="8" t="s">
        <v>14483</v>
      </c>
      <c r="E2555" s="8" t="s">
        <v>14484</v>
      </c>
      <c r="F2555" s="8" t="s">
        <v>14485</v>
      </c>
      <c r="G2555" s="6" t="s">
        <v>38</v>
      </c>
      <c r="H2555" s="6" t="s">
        <v>39</v>
      </c>
      <c r="I2555" s="8" t="s">
        <v>40</v>
      </c>
      <c r="J2555" s="9">
        <v>1</v>
      </c>
      <c r="K2555" s="9">
        <v>217</v>
      </c>
      <c r="L2555" s="9">
        <v>2020</v>
      </c>
      <c r="M2555" s="8" t="s">
        <v>14486</v>
      </c>
      <c r="N2555" s="8" t="s">
        <v>54</v>
      </c>
      <c r="O2555" s="8" t="s">
        <v>117</v>
      </c>
      <c r="P2555" s="6" t="s">
        <v>44</v>
      </c>
      <c r="Q2555" s="8" t="s">
        <v>45</v>
      </c>
      <c r="R2555" s="10" t="s">
        <v>14487</v>
      </c>
      <c r="S2555" s="11"/>
      <c r="T2555" s="6"/>
      <c r="U2555" s="24" t="str">
        <f>HYPERLINK("https://media.infra-m.ru/1053/1053569/cover/1053569.jpg", "Обложка")</f>
        <v>Обложка</v>
      </c>
      <c r="V2555" s="24" t="str">
        <f>HYPERLINK("https://znanium.ru/catalog/product/1053569", "Ознакомиться")</f>
        <v>Ознакомиться</v>
      </c>
      <c r="W2555" s="8" t="s">
        <v>93</v>
      </c>
      <c r="X2555" s="6"/>
      <c r="Y2555" s="6"/>
      <c r="Z2555" s="6"/>
      <c r="AA2555" s="6" t="s">
        <v>168</v>
      </c>
      <c r="AB2555" s="8"/>
    </row>
    <row r="2556" spans="1:28" s="4" customFormat="1" ht="42" customHeight="1">
      <c r="A2556" s="5">
        <v>0</v>
      </c>
      <c r="B2556" s="6" t="s">
        <v>14488</v>
      </c>
      <c r="C2556" s="7">
        <v>1080</v>
      </c>
      <c r="D2556" s="8" t="s">
        <v>14489</v>
      </c>
      <c r="E2556" s="8" t="s">
        <v>14490</v>
      </c>
      <c r="F2556" s="8" t="s">
        <v>14491</v>
      </c>
      <c r="G2556" s="6" t="s">
        <v>38</v>
      </c>
      <c r="H2556" s="6" t="s">
        <v>39</v>
      </c>
      <c r="I2556" s="8" t="s">
        <v>40</v>
      </c>
      <c r="J2556" s="9">
        <v>1</v>
      </c>
      <c r="K2556" s="9">
        <v>163</v>
      </c>
      <c r="L2556" s="9">
        <v>2026</v>
      </c>
      <c r="M2556" s="8" t="s">
        <v>14492</v>
      </c>
      <c r="N2556" s="8" t="s">
        <v>54</v>
      </c>
      <c r="O2556" s="8" t="s">
        <v>55</v>
      </c>
      <c r="P2556" s="6" t="s">
        <v>44</v>
      </c>
      <c r="Q2556" s="8" t="s">
        <v>45</v>
      </c>
      <c r="R2556" s="10" t="s">
        <v>14493</v>
      </c>
      <c r="S2556" s="11"/>
      <c r="T2556" s="6"/>
      <c r="U2556" s="24" t="str">
        <f>HYPERLINK("https://media.infra-m.ru/2224/2224093/cover/2224093.jpg", "Обложка")</f>
        <v>Обложка</v>
      </c>
      <c r="V2556" s="24" t="str">
        <f>HYPERLINK("https://znanium.ru/catalog/product/2224093", "Ознакомиться")</f>
        <v>Ознакомиться</v>
      </c>
      <c r="W2556" s="8" t="s">
        <v>817</v>
      </c>
      <c r="X2556" s="6"/>
      <c r="Y2556" s="6"/>
      <c r="Z2556" s="6"/>
      <c r="AA2556" s="6" t="s">
        <v>339</v>
      </c>
      <c r="AB2556" s="8"/>
    </row>
    <row r="2557" spans="1:28" s="4" customFormat="1" ht="42" customHeight="1">
      <c r="A2557" s="5">
        <v>0</v>
      </c>
      <c r="B2557" s="6" t="s">
        <v>14494</v>
      </c>
      <c r="C2557" s="13">
        <v>299.89999999999998</v>
      </c>
      <c r="D2557" s="8" t="s">
        <v>14495</v>
      </c>
      <c r="E2557" s="8" t="s">
        <v>14496</v>
      </c>
      <c r="F2557" s="8" t="s">
        <v>14497</v>
      </c>
      <c r="G2557" s="6" t="s">
        <v>38</v>
      </c>
      <c r="H2557" s="6" t="s">
        <v>39</v>
      </c>
      <c r="I2557" s="8" t="s">
        <v>40</v>
      </c>
      <c r="J2557" s="9">
        <v>1</v>
      </c>
      <c r="K2557" s="9">
        <v>144</v>
      </c>
      <c r="L2557" s="9">
        <v>2014</v>
      </c>
      <c r="M2557" s="8" t="s">
        <v>14498</v>
      </c>
      <c r="N2557" s="8" t="s">
        <v>54</v>
      </c>
      <c r="O2557" s="8" t="s">
        <v>55</v>
      </c>
      <c r="P2557" s="6" t="s">
        <v>44</v>
      </c>
      <c r="Q2557" s="8" t="s">
        <v>45</v>
      </c>
      <c r="R2557" s="10" t="s">
        <v>823</v>
      </c>
      <c r="S2557" s="11"/>
      <c r="T2557" s="6"/>
      <c r="U2557" s="24" t="str">
        <f>HYPERLINK("https://media.infra-m.ru/0453/0453762/cover/453762.jpg", "Обложка")</f>
        <v>Обложка</v>
      </c>
      <c r="V2557" s="24" t="str">
        <f>HYPERLINK("https://znanium.ru/catalog/product/307832", "Ознакомиться")</f>
        <v>Ознакомиться</v>
      </c>
      <c r="W2557" s="8" t="s">
        <v>817</v>
      </c>
      <c r="X2557" s="6"/>
      <c r="Y2557" s="6"/>
      <c r="Z2557" s="6"/>
      <c r="AA2557" s="6" t="s">
        <v>48</v>
      </c>
      <c r="AB2557" s="8"/>
    </row>
    <row r="2558" spans="1:28" s="4" customFormat="1" ht="51.95" customHeight="1">
      <c r="A2558" s="5">
        <v>0</v>
      </c>
      <c r="B2558" s="6" t="s">
        <v>14499</v>
      </c>
      <c r="C2558" s="7">
        <v>1488</v>
      </c>
      <c r="D2558" s="8" t="s">
        <v>14500</v>
      </c>
      <c r="E2558" s="8" t="s">
        <v>14501</v>
      </c>
      <c r="F2558" s="8" t="s">
        <v>14502</v>
      </c>
      <c r="G2558" s="6" t="s">
        <v>132</v>
      </c>
      <c r="H2558" s="6" t="s">
        <v>39</v>
      </c>
      <c r="I2558" s="8" t="s">
        <v>40</v>
      </c>
      <c r="J2558" s="9">
        <v>1</v>
      </c>
      <c r="K2558" s="9">
        <v>247</v>
      </c>
      <c r="L2558" s="9">
        <v>2023</v>
      </c>
      <c r="M2558" s="8" t="s">
        <v>14503</v>
      </c>
      <c r="N2558" s="8" t="s">
        <v>284</v>
      </c>
      <c r="O2558" s="8" t="s">
        <v>312</v>
      </c>
      <c r="P2558" s="6" t="s">
        <v>44</v>
      </c>
      <c r="Q2558" s="8" t="s">
        <v>45</v>
      </c>
      <c r="R2558" s="10" t="s">
        <v>14504</v>
      </c>
      <c r="S2558" s="11"/>
      <c r="T2558" s="6"/>
      <c r="U2558" s="24" t="str">
        <f>HYPERLINK("https://media.infra-m.ru/1989/1989212/cover/1989212.jpg", "Обложка")</f>
        <v>Обложка</v>
      </c>
      <c r="V2558" s="24" t="str">
        <f>HYPERLINK("https://znanium.ru/catalog/product/1989212", "Ознакомиться")</f>
        <v>Ознакомиться</v>
      </c>
      <c r="W2558" s="8" t="s">
        <v>3412</v>
      </c>
      <c r="X2558" s="6"/>
      <c r="Y2558" s="6"/>
      <c r="Z2558" s="6"/>
      <c r="AA2558" s="6" t="s">
        <v>119</v>
      </c>
      <c r="AB2558" s="8"/>
    </row>
    <row r="2559" spans="1:28" s="4" customFormat="1" ht="42" customHeight="1">
      <c r="A2559" s="5">
        <v>0</v>
      </c>
      <c r="B2559" s="6" t="s">
        <v>14505</v>
      </c>
      <c r="C2559" s="7">
        <v>1349.9</v>
      </c>
      <c r="D2559" s="8" t="s">
        <v>14506</v>
      </c>
      <c r="E2559" s="8" t="s">
        <v>14507</v>
      </c>
      <c r="F2559" s="8" t="s">
        <v>14508</v>
      </c>
      <c r="G2559" s="6" t="s">
        <v>38</v>
      </c>
      <c r="H2559" s="6" t="s">
        <v>39</v>
      </c>
      <c r="I2559" s="8" t="s">
        <v>173</v>
      </c>
      <c r="J2559" s="9">
        <v>1</v>
      </c>
      <c r="K2559" s="9">
        <v>249</v>
      </c>
      <c r="L2559" s="9">
        <v>2023</v>
      </c>
      <c r="M2559" s="8" t="s">
        <v>14509</v>
      </c>
      <c r="N2559" s="8" t="s">
        <v>220</v>
      </c>
      <c r="O2559" s="8" t="s">
        <v>252</v>
      </c>
      <c r="P2559" s="6" t="s">
        <v>44</v>
      </c>
      <c r="Q2559" s="8" t="s">
        <v>45</v>
      </c>
      <c r="R2559" s="10" t="s">
        <v>14510</v>
      </c>
      <c r="S2559" s="11"/>
      <c r="T2559" s="6"/>
      <c r="U2559" s="24" t="str">
        <f>HYPERLINK("https://media.infra-m.ru/2006/2006936/cover/2006936.jpg", "Обложка")</f>
        <v>Обложка</v>
      </c>
      <c r="V2559" s="24" t="str">
        <f>HYPERLINK("https://znanium.ru/catalog/product/1041304", "Ознакомиться")</f>
        <v>Ознакомиться</v>
      </c>
      <c r="W2559" s="8" t="s">
        <v>176</v>
      </c>
      <c r="X2559" s="6"/>
      <c r="Y2559" s="6"/>
      <c r="Z2559" s="6"/>
      <c r="AA2559" s="6" t="s">
        <v>76</v>
      </c>
      <c r="AB2559" s="8"/>
    </row>
    <row r="2560" spans="1:28" s="4" customFormat="1" ht="42" customHeight="1">
      <c r="A2560" s="5">
        <v>0</v>
      </c>
      <c r="B2560" s="6" t="s">
        <v>14511</v>
      </c>
      <c r="C2560" s="7">
        <v>1944</v>
      </c>
      <c r="D2560" s="8" t="s">
        <v>14512</v>
      </c>
      <c r="E2560" s="8" t="s">
        <v>14513</v>
      </c>
      <c r="F2560" s="8" t="s">
        <v>5417</v>
      </c>
      <c r="G2560" s="6" t="s">
        <v>38</v>
      </c>
      <c r="H2560" s="6" t="s">
        <v>39</v>
      </c>
      <c r="I2560" s="8" t="s">
        <v>40</v>
      </c>
      <c r="J2560" s="9">
        <v>1</v>
      </c>
      <c r="K2560" s="9">
        <v>413</v>
      </c>
      <c r="L2560" s="9">
        <v>2022</v>
      </c>
      <c r="M2560" s="8" t="s">
        <v>14514</v>
      </c>
      <c r="N2560" s="8" t="s">
        <v>54</v>
      </c>
      <c r="O2560" s="8" t="s">
        <v>55</v>
      </c>
      <c r="P2560" s="6" t="s">
        <v>44</v>
      </c>
      <c r="Q2560" s="8" t="s">
        <v>45</v>
      </c>
      <c r="R2560" s="10" t="s">
        <v>14515</v>
      </c>
      <c r="S2560" s="11"/>
      <c r="T2560" s="6"/>
      <c r="U2560" s="24" t="str">
        <f>HYPERLINK("https://media.infra-m.ru/1544/1544136/cover/1544136.jpg", "Обложка")</f>
        <v>Обложка</v>
      </c>
      <c r="V2560" s="24" t="str">
        <f>HYPERLINK("https://znanium.ru/catalog/product/1544136", "Ознакомиться")</f>
        <v>Ознакомиться</v>
      </c>
      <c r="W2560" s="8" t="s">
        <v>601</v>
      </c>
      <c r="X2560" s="6"/>
      <c r="Y2560" s="6"/>
      <c r="Z2560" s="6"/>
      <c r="AA2560" s="6" t="s">
        <v>111</v>
      </c>
      <c r="AB2560" s="8"/>
    </row>
    <row r="2561" spans="1:28" s="4" customFormat="1" ht="51.95" customHeight="1">
      <c r="A2561" s="5">
        <v>0</v>
      </c>
      <c r="B2561" s="6" t="s">
        <v>14516</v>
      </c>
      <c r="C2561" s="7">
        <v>1908</v>
      </c>
      <c r="D2561" s="8" t="s">
        <v>14517</v>
      </c>
      <c r="E2561" s="8" t="s">
        <v>14518</v>
      </c>
      <c r="F2561" s="8" t="s">
        <v>14519</v>
      </c>
      <c r="G2561" s="6" t="s">
        <v>38</v>
      </c>
      <c r="H2561" s="6" t="s">
        <v>3576</v>
      </c>
      <c r="I2561" s="8" t="s">
        <v>3577</v>
      </c>
      <c r="J2561" s="9">
        <v>1</v>
      </c>
      <c r="K2561" s="9">
        <v>345</v>
      </c>
      <c r="L2561" s="9">
        <v>2024</v>
      </c>
      <c r="M2561" s="8" t="s">
        <v>14520</v>
      </c>
      <c r="N2561" s="8" t="s">
        <v>42</v>
      </c>
      <c r="O2561" s="8" t="s">
        <v>1035</v>
      </c>
      <c r="P2561" s="6" t="s">
        <v>44</v>
      </c>
      <c r="Q2561" s="8" t="s">
        <v>45</v>
      </c>
      <c r="R2561" s="10" t="s">
        <v>14521</v>
      </c>
      <c r="S2561" s="11"/>
      <c r="T2561" s="6"/>
      <c r="U2561" s="24" t="str">
        <f>HYPERLINK("https://media.infra-m.ru/2117/2117126/cover/2117126.jpg", "Обложка")</f>
        <v>Обложка</v>
      </c>
      <c r="V2561" s="24" t="str">
        <f>HYPERLINK("https://znanium.ru/catalog/product/2117126", "Ознакомиться")</f>
        <v>Ознакомиться</v>
      </c>
      <c r="W2561" s="8" t="s">
        <v>1336</v>
      </c>
      <c r="X2561" s="6"/>
      <c r="Y2561" s="6"/>
      <c r="Z2561" s="6"/>
      <c r="AA2561" s="6" t="s">
        <v>127</v>
      </c>
      <c r="AB2561" s="8"/>
    </row>
    <row r="2562" spans="1:28" s="4" customFormat="1" ht="51.95" customHeight="1">
      <c r="A2562" s="5">
        <v>0</v>
      </c>
      <c r="B2562" s="6" t="s">
        <v>14522</v>
      </c>
      <c r="C2562" s="7">
        <v>1296</v>
      </c>
      <c r="D2562" s="8" t="s">
        <v>14523</v>
      </c>
      <c r="E2562" s="8" t="s">
        <v>14524</v>
      </c>
      <c r="F2562" s="8" t="s">
        <v>980</v>
      </c>
      <c r="G2562" s="6" t="s">
        <v>38</v>
      </c>
      <c r="H2562" s="6" t="s">
        <v>39</v>
      </c>
      <c r="I2562" s="8" t="s">
        <v>40</v>
      </c>
      <c r="J2562" s="9">
        <v>1</v>
      </c>
      <c r="K2562" s="9">
        <v>240</v>
      </c>
      <c r="L2562" s="9">
        <v>2022</v>
      </c>
      <c r="M2562" s="8" t="s">
        <v>14525</v>
      </c>
      <c r="N2562" s="8" t="s">
        <v>54</v>
      </c>
      <c r="O2562" s="8" t="s">
        <v>117</v>
      </c>
      <c r="P2562" s="6" t="s">
        <v>44</v>
      </c>
      <c r="Q2562" s="8" t="s">
        <v>45</v>
      </c>
      <c r="R2562" s="10" t="s">
        <v>14526</v>
      </c>
      <c r="S2562" s="11"/>
      <c r="T2562" s="6"/>
      <c r="U2562" s="24" t="str">
        <f>HYPERLINK("https://media.infra-m.ru/1852/1852202/cover/1852202.jpg", "Обложка")</f>
        <v>Обложка</v>
      </c>
      <c r="V2562" s="24" t="str">
        <f>HYPERLINK("https://znanium.ru/catalog/product/1852202", "Ознакомиться")</f>
        <v>Ознакомиться</v>
      </c>
      <c r="W2562" s="8" t="s">
        <v>846</v>
      </c>
      <c r="X2562" s="6"/>
      <c r="Y2562" s="6"/>
      <c r="Z2562" s="6"/>
      <c r="AA2562" s="6" t="s">
        <v>290</v>
      </c>
      <c r="AB2562" s="8"/>
    </row>
    <row r="2563" spans="1:28" s="4" customFormat="1" ht="51.95" customHeight="1">
      <c r="A2563" s="5">
        <v>0</v>
      </c>
      <c r="B2563" s="6" t="s">
        <v>14527</v>
      </c>
      <c r="C2563" s="7">
        <v>1584</v>
      </c>
      <c r="D2563" s="8" t="s">
        <v>14528</v>
      </c>
      <c r="E2563" s="8" t="s">
        <v>14529</v>
      </c>
      <c r="F2563" s="8" t="s">
        <v>703</v>
      </c>
      <c r="G2563" s="6" t="s">
        <v>38</v>
      </c>
      <c r="H2563" s="6" t="s">
        <v>39</v>
      </c>
      <c r="I2563" s="8" t="s">
        <v>40</v>
      </c>
      <c r="J2563" s="9">
        <v>1</v>
      </c>
      <c r="K2563" s="9">
        <v>264</v>
      </c>
      <c r="L2563" s="9">
        <v>2025</v>
      </c>
      <c r="M2563" s="8" t="s">
        <v>14530</v>
      </c>
      <c r="N2563" s="8" t="s">
        <v>54</v>
      </c>
      <c r="O2563" s="8" t="s">
        <v>55</v>
      </c>
      <c r="P2563" s="6" t="s">
        <v>1057</v>
      </c>
      <c r="Q2563" s="8" t="s">
        <v>45</v>
      </c>
      <c r="R2563" s="10" t="s">
        <v>666</v>
      </c>
      <c r="S2563" s="11"/>
      <c r="T2563" s="6"/>
      <c r="U2563" s="24" t="str">
        <f>HYPERLINK("https://media.infra-m.ru/2161/2161297/cover/2161297.jpg", "Обложка")</f>
        <v>Обложка</v>
      </c>
      <c r="V2563" s="24" t="str">
        <f>HYPERLINK("https://znanium.ru/catalog/product/2161297", "Ознакомиться")</f>
        <v>Ознакомиться</v>
      </c>
      <c r="W2563" s="8" t="s">
        <v>535</v>
      </c>
      <c r="X2563" s="6"/>
      <c r="Y2563" s="6"/>
      <c r="Z2563" s="6"/>
      <c r="AA2563" s="6" t="s">
        <v>369</v>
      </c>
      <c r="AB2563" s="8"/>
    </row>
    <row r="2564" spans="1:28" s="4" customFormat="1" ht="42" customHeight="1">
      <c r="A2564" s="5">
        <v>0</v>
      </c>
      <c r="B2564" s="6" t="s">
        <v>14531</v>
      </c>
      <c r="C2564" s="7">
        <v>1680</v>
      </c>
      <c r="D2564" s="8" t="s">
        <v>14532</v>
      </c>
      <c r="E2564" s="8" t="s">
        <v>14533</v>
      </c>
      <c r="F2564" s="8" t="s">
        <v>14534</v>
      </c>
      <c r="G2564" s="6" t="s">
        <v>38</v>
      </c>
      <c r="H2564" s="6" t="s">
        <v>39</v>
      </c>
      <c r="I2564" s="8" t="s">
        <v>40</v>
      </c>
      <c r="J2564" s="9">
        <v>1</v>
      </c>
      <c r="K2564" s="9">
        <v>311</v>
      </c>
      <c r="L2564" s="9">
        <v>2023</v>
      </c>
      <c r="M2564" s="8" t="s">
        <v>14535</v>
      </c>
      <c r="N2564" s="8" t="s">
        <v>284</v>
      </c>
      <c r="O2564" s="8" t="s">
        <v>285</v>
      </c>
      <c r="P2564" s="6" t="s">
        <v>44</v>
      </c>
      <c r="Q2564" s="8" t="s">
        <v>45</v>
      </c>
      <c r="R2564" s="10" t="s">
        <v>8384</v>
      </c>
      <c r="S2564" s="11"/>
      <c r="T2564" s="6"/>
      <c r="U2564" s="24" t="str">
        <f>HYPERLINK("https://media.infra-m.ru/1910/1910880/cover/1910880.jpg", "Обложка")</f>
        <v>Обложка</v>
      </c>
      <c r="V2564" s="24" t="str">
        <f>HYPERLINK("https://znanium.ru/catalog/product/1910880", "Ознакомиться")</f>
        <v>Ознакомиться</v>
      </c>
      <c r="W2564" s="8" t="s">
        <v>330</v>
      </c>
      <c r="X2564" s="6"/>
      <c r="Y2564" s="6"/>
      <c r="Z2564" s="6"/>
      <c r="AA2564" s="6" t="s">
        <v>76</v>
      </c>
      <c r="AB2564" s="8"/>
    </row>
    <row r="2565" spans="1:28" s="4" customFormat="1" ht="51.95" customHeight="1">
      <c r="A2565" s="5">
        <v>0</v>
      </c>
      <c r="B2565" s="6" t="s">
        <v>14536</v>
      </c>
      <c r="C2565" s="7">
        <v>2076</v>
      </c>
      <c r="D2565" s="8" t="s">
        <v>14537</v>
      </c>
      <c r="E2565" s="8" t="s">
        <v>14538</v>
      </c>
      <c r="F2565" s="8" t="s">
        <v>4526</v>
      </c>
      <c r="G2565" s="6" t="s">
        <v>38</v>
      </c>
      <c r="H2565" s="6" t="s">
        <v>39</v>
      </c>
      <c r="I2565" s="8" t="s">
        <v>40</v>
      </c>
      <c r="J2565" s="9">
        <v>1</v>
      </c>
      <c r="K2565" s="9">
        <v>321</v>
      </c>
      <c r="L2565" s="9">
        <v>2026</v>
      </c>
      <c r="M2565" s="8" t="s">
        <v>14539</v>
      </c>
      <c r="N2565" s="8" t="s">
        <v>284</v>
      </c>
      <c r="O2565" s="8" t="s">
        <v>2265</v>
      </c>
      <c r="P2565" s="6" t="s">
        <v>44</v>
      </c>
      <c r="Q2565" s="8" t="s">
        <v>45</v>
      </c>
      <c r="R2565" s="10" t="s">
        <v>14540</v>
      </c>
      <c r="S2565" s="11"/>
      <c r="T2565" s="6"/>
      <c r="U2565" s="24" t="str">
        <f>HYPERLINK("https://media.infra-m.ru/2220/2220455/cover/2220455.jpg", "Обложка")</f>
        <v>Обложка</v>
      </c>
      <c r="V2565" s="24" t="str">
        <f>HYPERLINK("https://znanium.ru/catalog/product/2220455", "Ознакомиться")</f>
        <v>Ознакомиться</v>
      </c>
      <c r="W2565" s="8" t="s">
        <v>289</v>
      </c>
      <c r="X2565" s="6"/>
      <c r="Y2565" s="6"/>
      <c r="Z2565" s="6"/>
      <c r="AA2565" s="6" t="s">
        <v>119</v>
      </c>
      <c r="AB2565" s="8"/>
    </row>
    <row r="2566" spans="1:28" s="4" customFormat="1" ht="42" customHeight="1">
      <c r="A2566" s="5">
        <v>0</v>
      </c>
      <c r="B2566" s="6" t="s">
        <v>14541</v>
      </c>
      <c r="C2566" s="7">
        <v>1944</v>
      </c>
      <c r="D2566" s="8" t="s">
        <v>14542</v>
      </c>
      <c r="E2566" s="8" t="s">
        <v>14543</v>
      </c>
      <c r="F2566" s="8" t="s">
        <v>14544</v>
      </c>
      <c r="G2566" s="6" t="s">
        <v>132</v>
      </c>
      <c r="H2566" s="6" t="s">
        <v>39</v>
      </c>
      <c r="I2566" s="8" t="s">
        <v>828</v>
      </c>
      <c r="J2566" s="9">
        <v>1</v>
      </c>
      <c r="K2566" s="9">
        <v>310</v>
      </c>
      <c r="L2566" s="9">
        <v>2025</v>
      </c>
      <c r="M2566" s="8" t="s">
        <v>14545</v>
      </c>
      <c r="N2566" s="8" t="s">
        <v>220</v>
      </c>
      <c r="O2566" s="8" t="s">
        <v>474</v>
      </c>
      <c r="P2566" s="6" t="s">
        <v>659</v>
      </c>
      <c r="Q2566" s="8" t="s">
        <v>45</v>
      </c>
      <c r="R2566" s="10" t="s">
        <v>14546</v>
      </c>
      <c r="S2566" s="11"/>
      <c r="T2566" s="6"/>
      <c r="U2566" s="24" t="str">
        <f>HYPERLINK("https://media.infra-m.ru/1959/1959275/cover/1959275.jpg", "Обложка")</f>
        <v>Обложка</v>
      </c>
      <c r="V2566" s="24" t="str">
        <f>HYPERLINK("https://znanium.ru/catalog/product/1959275", "Ознакомиться")</f>
        <v>Ознакомиться</v>
      </c>
      <c r="W2566" s="8" t="s">
        <v>3412</v>
      </c>
      <c r="X2566" s="6"/>
      <c r="Y2566" s="6"/>
      <c r="Z2566" s="6"/>
      <c r="AA2566" s="6" t="s">
        <v>159</v>
      </c>
      <c r="AB2566" s="8"/>
    </row>
    <row r="2567" spans="1:28" s="4" customFormat="1" ht="51.95" customHeight="1">
      <c r="A2567" s="5">
        <v>0</v>
      </c>
      <c r="B2567" s="6" t="s">
        <v>14547</v>
      </c>
      <c r="C2567" s="7">
        <v>1008</v>
      </c>
      <c r="D2567" s="8" t="s">
        <v>14548</v>
      </c>
      <c r="E2567" s="8" t="s">
        <v>14549</v>
      </c>
      <c r="F2567" s="8" t="s">
        <v>14550</v>
      </c>
      <c r="G2567" s="6" t="s">
        <v>38</v>
      </c>
      <c r="H2567" s="6" t="s">
        <v>39</v>
      </c>
      <c r="I2567" s="8" t="s">
        <v>40</v>
      </c>
      <c r="J2567" s="9">
        <v>1</v>
      </c>
      <c r="K2567" s="9">
        <v>187</v>
      </c>
      <c r="L2567" s="9">
        <v>2022</v>
      </c>
      <c r="M2567" s="8" t="s">
        <v>14551</v>
      </c>
      <c r="N2567" s="8" t="s">
        <v>284</v>
      </c>
      <c r="O2567" s="8" t="s">
        <v>717</v>
      </c>
      <c r="P2567" s="6" t="s">
        <v>44</v>
      </c>
      <c r="Q2567" s="8" t="s">
        <v>45</v>
      </c>
      <c r="R2567" s="10" t="s">
        <v>14552</v>
      </c>
      <c r="S2567" s="11"/>
      <c r="T2567" s="6"/>
      <c r="U2567" s="24" t="str">
        <f>HYPERLINK("https://media.infra-m.ru/1859/1859979/cover/1859979.jpg", "Обложка")</f>
        <v>Обложка</v>
      </c>
      <c r="V2567" s="24" t="str">
        <f>HYPERLINK("https://znanium.ru/catalog/product/1859979", "Ознакомиться")</f>
        <v>Ознакомиться</v>
      </c>
      <c r="W2567" s="8" t="s">
        <v>971</v>
      </c>
      <c r="X2567" s="6"/>
      <c r="Y2567" s="6"/>
      <c r="Z2567" s="6"/>
      <c r="AA2567" s="6" t="s">
        <v>111</v>
      </c>
      <c r="AB2567" s="8" t="s">
        <v>917</v>
      </c>
    </row>
    <row r="2568" spans="1:28" s="4" customFormat="1" ht="42" customHeight="1">
      <c r="A2568" s="5">
        <v>0</v>
      </c>
      <c r="B2568" s="6" t="s">
        <v>14553</v>
      </c>
      <c r="C2568" s="7">
        <v>2452.8000000000002</v>
      </c>
      <c r="D2568" s="8" t="s">
        <v>14554</v>
      </c>
      <c r="E2568" s="8" t="s">
        <v>14555</v>
      </c>
      <c r="F2568" s="8" t="s">
        <v>14556</v>
      </c>
      <c r="G2568" s="6" t="s">
        <v>132</v>
      </c>
      <c r="H2568" s="6" t="s">
        <v>326</v>
      </c>
      <c r="I2568" s="8"/>
      <c r="J2568" s="9">
        <v>1</v>
      </c>
      <c r="K2568" s="9">
        <v>576</v>
      </c>
      <c r="L2568" s="9">
        <v>2024</v>
      </c>
      <c r="M2568" s="8" t="s">
        <v>14557</v>
      </c>
      <c r="N2568" s="8" t="s">
        <v>54</v>
      </c>
      <c r="O2568" s="8" t="s">
        <v>2811</v>
      </c>
      <c r="P2568" s="6" t="s">
        <v>1195</v>
      </c>
      <c r="Q2568" s="8" t="s">
        <v>45</v>
      </c>
      <c r="R2568" s="10" t="s">
        <v>5355</v>
      </c>
      <c r="S2568" s="11"/>
      <c r="T2568" s="6"/>
      <c r="U2568" s="24" t="str">
        <f>HYPERLINK("https://media.infra-m.ru/2105/2105369/cover/2105369.jpg", "Обложка")</f>
        <v>Обложка</v>
      </c>
      <c r="V2568" s="12"/>
      <c r="W2568" s="8" t="s">
        <v>1529</v>
      </c>
      <c r="X2568" s="6"/>
      <c r="Y2568" s="6"/>
      <c r="Z2568" s="6"/>
      <c r="AA2568" s="6" t="s">
        <v>94</v>
      </c>
      <c r="AB2568" s="8"/>
    </row>
    <row r="2569" spans="1:28" s="4" customFormat="1" ht="51.95" customHeight="1">
      <c r="A2569" s="5">
        <v>0</v>
      </c>
      <c r="B2569" s="6" t="s">
        <v>14558</v>
      </c>
      <c r="C2569" s="7">
        <v>2040</v>
      </c>
      <c r="D2569" s="8" t="s">
        <v>14559</v>
      </c>
      <c r="E2569" s="8" t="s">
        <v>14560</v>
      </c>
      <c r="F2569" s="8" t="s">
        <v>14561</v>
      </c>
      <c r="G2569" s="6" t="s">
        <v>132</v>
      </c>
      <c r="H2569" s="6" t="s">
        <v>39</v>
      </c>
      <c r="I2569" s="8" t="s">
        <v>40</v>
      </c>
      <c r="J2569" s="9">
        <v>1</v>
      </c>
      <c r="K2569" s="9">
        <v>341</v>
      </c>
      <c r="L2569" s="9">
        <v>2024</v>
      </c>
      <c r="M2569" s="8" t="s">
        <v>14562</v>
      </c>
      <c r="N2569" s="8" t="s">
        <v>284</v>
      </c>
      <c r="O2569" s="8" t="s">
        <v>717</v>
      </c>
      <c r="P2569" s="6" t="s">
        <v>44</v>
      </c>
      <c r="Q2569" s="8" t="s">
        <v>45</v>
      </c>
      <c r="R2569" s="10" t="s">
        <v>14563</v>
      </c>
      <c r="S2569" s="11"/>
      <c r="T2569" s="6"/>
      <c r="U2569" s="24" t="str">
        <f>HYPERLINK("https://media.infra-m.ru/2132/2132122/cover/2132122.jpg", "Обложка")</f>
        <v>Обложка</v>
      </c>
      <c r="V2569" s="24" t="str">
        <f>HYPERLINK("https://znanium.ru/catalog/product/2132122", "Ознакомиться")</f>
        <v>Ознакомиться</v>
      </c>
      <c r="W2569" s="8" t="s">
        <v>7027</v>
      </c>
      <c r="X2569" s="6"/>
      <c r="Y2569" s="6"/>
      <c r="Z2569" s="6"/>
      <c r="AA2569" s="6" t="s">
        <v>58</v>
      </c>
      <c r="AB2569" s="8" t="s">
        <v>634</v>
      </c>
    </row>
    <row r="2570" spans="1:28" s="4" customFormat="1" ht="44.1" customHeight="1">
      <c r="A2570" s="5">
        <v>0</v>
      </c>
      <c r="B2570" s="6" t="s">
        <v>14564</v>
      </c>
      <c r="C2570" s="7">
        <v>1608</v>
      </c>
      <c r="D2570" s="8" t="s">
        <v>14565</v>
      </c>
      <c r="E2570" s="8" t="s">
        <v>14566</v>
      </c>
      <c r="F2570" s="8" t="s">
        <v>14567</v>
      </c>
      <c r="G2570" s="6" t="s">
        <v>81</v>
      </c>
      <c r="H2570" s="6" t="s">
        <v>571</v>
      </c>
      <c r="I2570" s="8"/>
      <c r="J2570" s="9">
        <v>1</v>
      </c>
      <c r="K2570" s="9">
        <v>248</v>
      </c>
      <c r="L2570" s="9">
        <v>2026</v>
      </c>
      <c r="M2570" s="8" t="s">
        <v>14568</v>
      </c>
      <c r="N2570" s="8" t="s">
        <v>42</v>
      </c>
      <c r="O2570" s="8" t="s">
        <v>189</v>
      </c>
      <c r="P2570" s="6" t="s">
        <v>44</v>
      </c>
      <c r="Q2570" s="8" t="s">
        <v>45</v>
      </c>
      <c r="R2570" s="10" t="s">
        <v>502</v>
      </c>
      <c r="S2570" s="11"/>
      <c r="T2570" s="6"/>
      <c r="U2570" s="24" t="str">
        <f>HYPERLINK("https://media.infra-m.ru/2221/2221507/cover/2221507.jpg", "Обложка")</f>
        <v>Обложка</v>
      </c>
      <c r="V2570" s="24" t="str">
        <f>HYPERLINK("https://znanium.ru/catalog/product/2221507", "Ознакомиться")</f>
        <v>Ознакомиться</v>
      </c>
      <c r="W2570" s="8" t="s">
        <v>167</v>
      </c>
      <c r="X2570" s="6"/>
      <c r="Y2570" s="6"/>
      <c r="Z2570" s="6"/>
      <c r="AA2570" s="6" t="s">
        <v>159</v>
      </c>
      <c r="AB2570" s="8"/>
    </row>
    <row r="2571" spans="1:28" s="4" customFormat="1" ht="51.95" customHeight="1">
      <c r="A2571" s="5">
        <v>0</v>
      </c>
      <c r="B2571" s="6" t="s">
        <v>14569</v>
      </c>
      <c r="C2571" s="13">
        <v>816</v>
      </c>
      <c r="D2571" s="8" t="s">
        <v>14570</v>
      </c>
      <c r="E2571" s="8" t="s">
        <v>14571</v>
      </c>
      <c r="F2571" s="8" t="s">
        <v>14572</v>
      </c>
      <c r="G2571" s="6" t="s">
        <v>38</v>
      </c>
      <c r="H2571" s="6" t="s">
        <v>39</v>
      </c>
      <c r="I2571" s="8" t="s">
        <v>40</v>
      </c>
      <c r="J2571" s="9">
        <v>1</v>
      </c>
      <c r="K2571" s="9">
        <v>152</v>
      </c>
      <c r="L2571" s="9">
        <v>2023</v>
      </c>
      <c r="M2571" s="8" t="s">
        <v>14573</v>
      </c>
      <c r="N2571" s="8" t="s">
        <v>42</v>
      </c>
      <c r="O2571" s="8" t="s">
        <v>1002</v>
      </c>
      <c r="P2571" s="6" t="s">
        <v>44</v>
      </c>
      <c r="Q2571" s="8" t="s">
        <v>45</v>
      </c>
      <c r="R2571" s="10" t="s">
        <v>14574</v>
      </c>
      <c r="S2571" s="11"/>
      <c r="T2571" s="6"/>
      <c r="U2571" s="24" t="str">
        <f>HYPERLINK("https://media.infra-m.ru/1893/1893848/cover/1893848.jpg", "Обложка")</f>
        <v>Обложка</v>
      </c>
      <c r="V2571" s="24" t="str">
        <f>HYPERLINK("https://znanium.ru/catalog/product/1893848", "Ознакомиться")</f>
        <v>Ознакомиться</v>
      </c>
      <c r="W2571" s="8" t="s">
        <v>937</v>
      </c>
      <c r="X2571" s="6"/>
      <c r="Y2571" s="6"/>
      <c r="Z2571" s="6"/>
      <c r="AA2571" s="6" t="s">
        <v>290</v>
      </c>
      <c r="AB2571" s="8"/>
    </row>
    <row r="2572" spans="1:28" s="4" customFormat="1" ht="51.95" customHeight="1">
      <c r="A2572" s="5">
        <v>0</v>
      </c>
      <c r="B2572" s="6" t="s">
        <v>14575</v>
      </c>
      <c r="C2572" s="13">
        <v>880.8</v>
      </c>
      <c r="D2572" s="8" t="s">
        <v>14576</v>
      </c>
      <c r="E2572" s="8" t="s">
        <v>14577</v>
      </c>
      <c r="F2572" s="8" t="s">
        <v>14578</v>
      </c>
      <c r="G2572" s="6" t="s">
        <v>38</v>
      </c>
      <c r="H2572" s="6" t="s">
        <v>39</v>
      </c>
      <c r="I2572" s="8" t="s">
        <v>40</v>
      </c>
      <c r="J2572" s="9">
        <v>1</v>
      </c>
      <c r="K2572" s="9">
        <v>140</v>
      </c>
      <c r="L2572" s="9">
        <v>2026</v>
      </c>
      <c r="M2572" s="8" t="s">
        <v>14579</v>
      </c>
      <c r="N2572" s="8" t="s">
        <v>284</v>
      </c>
      <c r="O2572" s="8" t="s">
        <v>285</v>
      </c>
      <c r="P2572" s="6" t="s">
        <v>44</v>
      </c>
      <c r="Q2572" s="8" t="s">
        <v>45</v>
      </c>
      <c r="R2572" s="10" t="s">
        <v>14580</v>
      </c>
      <c r="S2572" s="11"/>
      <c r="T2572" s="6"/>
      <c r="U2572" s="24" t="str">
        <f>HYPERLINK("https://media.infra-m.ru/2192/2192555/cover/2192555.jpg", "Обложка")</f>
        <v>Обложка</v>
      </c>
      <c r="V2572" s="24" t="str">
        <f>HYPERLINK("https://znanium.ru/catalog/product/2133111", "Ознакомиться")</f>
        <v>Ознакомиться</v>
      </c>
      <c r="W2572" s="8" t="s">
        <v>368</v>
      </c>
      <c r="X2572" s="6"/>
      <c r="Y2572" s="6"/>
      <c r="Z2572" s="6"/>
      <c r="AA2572" s="6" t="s">
        <v>1363</v>
      </c>
      <c r="AB2572" s="8"/>
    </row>
    <row r="2573" spans="1:28" s="4" customFormat="1" ht="44.1" customHeight="1">
      <c r="A2573" s="5">
        <v>0</v>
      </c>
      <c r="B2573" s="6" t="s">
        <v>14581</v>
      </c>
      <c r="C2573" s="13">
        <v>648</v>
      </c>
      <c r="D2573" s="8" t="s">
        <v>14582</v>
      </c>
      <c r="E2573" s="8" t="s">
        <v>14583</v>
      </c>
      <c r="F2573" s="8" t="s">
        <v>14584</v>
      </c>
      <c r="G2573" s="6" t="s">
        <v>38</v>
      </c>
      <c r="H2573" s="6" t="s">
        <v>39</v>
      </c>
      <c r="I2573" s="8" t="s">
        <v>40</v>
      </c>
      <c r="J2573" s="9">
        <v>1</v>
      </c>
      <c r="K2573" s="9">
        <v>116</v>
      </c>
      <c r="L2573" s="9">
        <v>2024</v>
      </c>
      <c r="M2573" s="8" t="s">
        <v>14585</v>
      </c>
      <c r="N2573" s="8" t="s">
        <v>54</v>
      </c>
      <c r="O2573" s="8" t="s">
        <v>55</v>
      </c>
      <c r="P2573" s="6" t="s">
        <v>44</v>
      </c>
      <c r="Q2573" s="8" t="s">
        <v>45</v>
      </c>
      <c r="R2573" s="10" t="s">
        <v>12296</v>
      </c>
      <c r="S2573" s="11"/>
      <c r="T2573" s="6"/>
      <c r="U2573" s="24" t="str">
        <f>HYPERLINK("https://media.infra-m.ru/2106/2106744/cover/2106744.jpg", "Обложка")</f>
        <v>Обложка</v>
      </c>
      <c r="V2573" s="24" t="str">
        <f>HYPERLINK("https://znanium.ru/catalog/product/2106744", "Ознакомиться")</f>
        <v>Ознакомиться</v>
      </c>
      <c r="W2573" s="8" t="s">
        <v>817</v>
      </c>
      <c r="X2573" s="6"/>
      <c r="Y2573" s="6"/>
      <c r="Z2573" s="6"/>
      <c r="AA2573" s="6" t="s">
        <v>290</v>
      </c>
      <c r="AB2573" s="8"/>
    </row>
    <row r="2574" spans="1:28" s="4" customFormat="1" ht="51.95" customHeight="1">
      <c r="A2574" s="5">
        <v>0</v>
      </c>
      <c r="B2574" s="6" t="s">
        <v>14586</v>
      </c>
      <c r="C2574" s="7">
        <v>1188</v>
      </c>
      <c r="D2574" s="8" t="s">
        <v>14587</v>
      </c>
      <c r="E2574" s="8" t="s">
        <v>14588</v>
      </c>
      <c r="F2574" s="8" t="s">
        <v>14589</v>
      </c>
      <c r="G2574" s="6" t="s">
        <v>38</v>
      </c>
      <c r="H2574" s="6" t="s">
        <v>39</v>
      </c>
      <c r="I2574" s="8" t="s">
        <v>40</v>
      </c>
      <c r="J2574" s="9">
        <v>1</v>
      </c>
      <c r="K2574" s="9">
        <v>185</v>
      </c>
      <c r="L2574" s="9">
        <v>2026</v>
      </c>
      <c r="M2574" s="8" t="s">
        <v>14590</v>
      </c>
      <c r="N2574" s="8" t="s">
        <v>229</v>
      </c>
      <c r="O2574" s="8" t="s">
        <v>230</v>
      </c>
      <c r="P2574" s="6" t="s">
        <v>44</v>
      </c>
      <c r="Q2574" s="8" t="s">
        <v>45</v>
      </c>
      <c r="R2574" s="10" t="s">
        <v>14591</v>
      </c>
      <c r="S2574" s="11"/>
      <c r="T2574" s="6"/>
      <c r="U2574" s="24" t="str">
        <f>HYPERLINK("https://media.infra-m.ru/2219/2219027/cover/2219027.jpg", "Обложка")</f>
        <v>Обложка</v>
      </c>
      <c r="V2574" s="24" t="str">
        <f>HYPERLINK("https://znanium.ru/catalog/product/2219027", "Ознакомиться")</f>
        <v>Ознакомиться</v>
      </c>
      <c r="W2574" s="8" t="s">
        <v>593</v>
      </c>
      <c r="X2574" s="6"/>
      <c r="Y2574" s="6"/>
      <c r="Z2574" s="6"/>
      <c r="AA2574" s="6" t="s">
        <v>119</v>
      </c>
      <c r="AB2574" s="8"/>
    </row>
    <row r="2575" spans="1:28" s="4" customFormat="1" ht="42" customHeight="1">
      <c r="A2575" s="5">
        <v>0</v>
      </c>
      <c r="B2575" s="6" t="s">
        <v>14592</v>
      </c>
      <c r="C2575" s="7">
        <v>1080</v>
      </c>
      <c r="D2575" s="8" t="s">
        <v>14593</v>
      </c>
      <c r="E2575" s="8" t="s">
        <v>14594</v>
      </c>
      <c r="F2575" s="8" t="s">
        <v>14595</v>
      </c>
      <c r="G2575" s="6" t="s">
        <v>81</v>
      </c>
      <c r="H2575" s="6" t="s">
        <v>39</v>
      </c>
      <c r="I2575" s="8" t="s">
        <v>40</v>
      </c>
      <c r="J2575" s="9">
        <v>1</v>
      </c>
      <c r="K2575" s="9">
        <v>171</v>
      </c>
      <c r="L2575" s="9">
        <v>2025</v>
      </c>
      <c r="M2575" s="8" t="s">
        <v>14596</v>
      </c>
      <c r="N2575" s="8" t="s">
        <v>42</v>
      </c>
      <c r="O2575" s="8" t="s">
        <v>65</v>
      </c>
      <c r="P2575" s="6" t="s">
        <v>44</v>
      </c>
      <c r="Q2575" s="8" t="s">
        <v>45</v>
      </c>
      <c r="R2575" s="10" t="s">
        <v>14597</v>
      </c>
      <c r="S2575" s="11"/>
      <c r="T2575" s="6"/>
      <c r="U2575" s="24" t="str">
        <f>HYPERLINK("https://media.infra-m.ru/2217/2217142/cover/2217142.jpg", "Обложка")</f>
        <v>Обложка</v>
      </c>
      <c r="V2575" s="24" t="str">
        <f>HYPERLINK("https://znanium.ru/catalog/product/2217142", "Ознакомиться")</f>
        <v>Ознакомиться</v>
      </c>
      <c r="W2575" s="8" t="s">
        <v>846</v>
      </c>
      <c r="X2575" s="6"/>
      <c r="Y2575" s="6"/>
      <c r="Z2575" s="6"/>
      <c r="AA2575" s="6" t="s">
        <v>58</v>
      </c>
      <c r="AB2575" s="8"/>
    </row>
    <row r="2576" spans="1:28" s="4" customFormat="1" ht="42" customHeight="1">
      <c r="A2576" s="5">
        <v>0</v>
      </c>
      <c r="B2576" s="6" t="s">
        <v>14598</v>
      </c>
      <c r="C2576" s="7">
        <v>1152</v>
      </c>
      <c r="D2576" s="8" t="s">
        <v>14599</v>
      </c>
      <c r="E2576" s="8" t="s">
        <v>14600</v>
      </c>
      <c r="F2576" s="8" t="s">
        <v>14601</v>
      </c>
      <c r="G2576" s="6" t="s">
        <v>38</v>
      </c>
      <c r="H2576" s="6" t="s">
        <v>39</v>
      </c>
      <c r="I2576" s="8" t="s">
        <v>164</v>
      </c>
      <c r="J2576" s="9">
        <v>1</v>
      </c>
      <c r="K2576" s="9">
        <v>178</v>
      </c>
      <c r="L2576" s="9">
        <v>2026</v>
      </c>
      <c r="M2576" s="8" t="s">
        <v>14602</v>
      </c>
      <c r="N2576" s="8" t="s">
        <v>54</v>
      </c>
      <c r="O2576" s="8" t="s">
        <v>91</v>
      </c>
      <c r="P2576" s="6" t="s">
        <v>44</v>
      </c>
      <c r="Q2576" s="8" t="s">
        <v>45</v>
      </c>
      <c r="R2576" s="10" t="s">
        <v>14603</v>
      </c>
      <c r="S2576" s="11"/>
      <c r="T2576" s="6"/>
      <c r="U2576" s="24" t="str">
        <f>HYPERLINK("https://media.infra-m.ru/2217/2217013/cover/2217013.jpg", "Обложка")</f>
        <v>Обложка</v>
      </c>
      <c r="V2576" s="24" t="str">
        <f>HYPERLINK("https://znanium.ru/catalog/product/2217013", "Ознакомиться")</f>
        <v>Ознакомиться</v>
      </c>
      <c r="W2576" s="8" t="s">
        <v>12124</v>
      </c>
      <c r="X2576" s="6"/>
      <c r="Y2576" s="6"/>
      <c r="Z2576" s="6"/>
      <c r="AA2576" s="6" t="s">
        <v>111</v>
      </c>
      <c r="AB2576" s="8"/>
    </row>
    <row r="2577" spans="1:28" s="4" customFormat="1" ht="51.95" customHeight="1">
      <c r="A2577" s="5">
        <v>0</v>
      </c>
      <c r="B2577" s="6" t="s">
        <v>14604</v>
      </c>
      <c r="C2577" s="7">
        <v>1276.8</v>
      </c>
      <c r="D2577" s="8" t="s">
        <v>14605</v>
      </c>
      <c r="E2577" s="8" t="s">
        <v>14606</v>
      </c>
      <c r="F2577" s="8" t="s">
        <v>14607</v>
      </c>
      <c r="G2577" s="6" t="s">
        <v>38</v>
      </c>
      <c r="H2577" s="6" t="s">
        <v>182</v>
      </c>
      <c r="I2577" s="8"/>
      <c r="J2577" s="9">
        <v>1</v>
      </c>
      <c r="K2577" s="9">
        <v>204</v>
      </c>
      <c r="L2577" s="9">
        <v>2025</v>
      </c>
      <c r="M2577" s="8" t="s">
        <v>14608</v>
      </c>
      <c r="N2577" s="8" t="s">
        <v>42</v>
      </c>
      <c r="O2577" s="8" t="s">
        <v>189</v>
      </c>
      <c r="P2577" s="6" t="s">
        <v>44</v>
      </c>
      <c r="Q2577" s="8" t="s">
        <v>45</v>
      </c>
      <c r="R2577" s="10" t="s">
        <v>14609</v>
      </c>
      <c r="S2577" s="11"/>
      <c r="T2577" s="6"/>
      <c r="U2577" s="24" t="str">
        <f>HYPERLINK("https://media.infra-m.ru/2208/2208455/cover/2208455.jpg", "Обложка")</f>
        <v>Обложка</v>
      </c>
      <c r="V2577" s="24" t="str">
        <f>HYPERLINK("https://znanium.ru/catalog/product/2109600", "Ознакомиться")</f>
        <v>Ознакомиться</v>
      </c>
      <c r="W2577" s="8" t="s">
        <v>2795</v>
      </c>
      <c r="X2577" s="6"/>
      <c r="Y2577" s="6"/>
      <c r="Z2577" s="6"/>
      <c r="AA2577" s="6" t="s">
        <v>369</v>
      </c>
      <c r="AB2577" s="8"/>
    </row>
    <row r="2578" spans="1:28" s="4" customFormat="1" ht="51.95" customHeight="1">
      <c r="A2578" s="5">
        <v>0</v>
      </c>
      <c r="B2578" s="6" t="s">
        <v>14610</v>
      </c>
      <c r="C2578" s="13">
        <v>480</v>
      </c>
      <c r="D2578" s="8" t="s">
        <v>14611</v>
      </c>
      <c r="E2578" s="8" t="s">
        <v>14612</v>
      </c>
      <c r="F2578" s="8" t="s">
        <v>14613</v>
      </c>
      <c r="G2578" s="6" t="s">
        <v>38</v>
      </c>
      <c r="H2578" s="6" t="s">
        <v>182</v>
      </c>
      <c r="I2578" s="8" t="s">
        <v>40</v>
      </c>
      <c r="J2578" s="9">
        <v>1</v>
      </c>
      <c r="K2578" s="9">
        <v>116</v>
      </c>
      <c r="L2578" s="9">
        <v>2019</v>
      </c>
      <c r="M2578" s="8" t="s">
        <v>14614</v>
      </c>
      <c r="N2578" s="8" t="s">
        <v>42</v>
      </c>
      <c r="O2578" s="8" t="s">
        <v>43</v>
      </c>
      <c r="P2578" s="6" t="s">
        <v>44</v>
      </c>
      <c r="Q2578" s="8" t="s">
        <v>45</v>
      </c>
      <c r="R2578" s="10" t="s">
        <v>14615</v>
      </c>
      <c r="S2578" s="11"/>
      <c r="T2578" s="6"/>
      <c r="U2578" s="24" t="str">
        <f>HYPERLINK("https://media.infra-m.ru/1015/1015328/cover/1015328.jpg", "Обложка")</f>
        <v>Обложка</v>
      </c>
      <c r="V2578" s="24" t="str">
        <f>HYPERLINK("https://znanium.ru/catalog/product/1015328", "Ознакомиться")</f>
        <v>Ознакомиться</v>
      </c>
      <c r="W2578" s="8" t="s">
        <v>93</v>
      </c>
      <c r="X2578" s="6"/>
      <c r="Y2578" s="6"/>
      <c r="Z2578" s="6"/>
      <c r="AA2578" s="6" t="s">
        <v>48</v>
      </c>
      <c r="AB2578" s="8"/>
    </row>
    <row r="2579" spans="1:28" s="4" customFormat="1" ht="44.1" customHeight="1">
      <c r="A2579" s="5">
        <v>0</v>
      </c>
      <c r="B2579" s="6" t="s">
        <v>14616</v>
      </c>
      <c r="C2579" s="7">
        <v>1980</v>
      </c>
      <c r="D2579" s="8" t="s">
        <v>14617</v>
      </c>
      <c r="E2579" s="8" t="s">
        <v>14618</v>
      </c>
      <c r="F2579" s="8" t="s">
        <v>14619</v>
      </c>
      <c r="G2579" s="6" t="s">
        <v>81</v>
      </c>
      <c r="H2579" s="6" t="s">
        <v>39</v>
      </c>
      <c r="I2579" s="8" t="s">
        <v>40</v>
      </c>
      <c r="J2579" s="9">
        <v>1</v>
      </c>
      <c r="K2579" s="9">
        <v>293</v>
      </c>
      <c r="L2579" s="9">
        <v>2026</v>
      </c>
      <c r="M2579" s="8" t="s">
        <v>14620</v>
      </c>
      <c r="N2579" s="8" t="s">
        <v>54</v>
      </c>
      <c r="O2579" s="8" t="s">
        <v>140</v>
      </c>
      <c r="P2579" s="6" t="s">
        <v>44</v>
      </c>
      <c r="Q2579" s="8" t="s">
        <v>45</v>
      </c>
      <c r="R2579" s="10" t="s">
        <v>14621</v>
      </c>
      <c r="S2579" s="11"/>
      <c r="T2579" s="6"/>
      <c r="U2579" s="24" t="str">
        <f>HYPERLINK("https://media.infra-m.ru/2224/2224066/cover/2224066.jpg", "Обложка")</f>
        <v>Обложка</v>
      </c>
      <c r="V2579" s="24" t="str">
        <f>HYPERLINK("https://znanium.ru/catalog/product/2224066", "Ознакомиться")</f>
        <v>Ознакомиться</v>
      </c>
      <c r="W2579" s="8" t="s">
        <v>3948</v>
      </c>
      <c r="X2579" s="6"/>
      <c r="Y2579" s="6"/>
      <c r="Z2579" s="6"/>
      <c r="AA2579" s="6" t="s">
        <v>58</v>
      </c>
      <c r="AB2579" s="8" t="s">
        <v>4253</v>
      </c>
    </row>
    <row r="2580" spans="1:28" s="4" customFormat="1" ht="44.1" customHeight="1">
      <c r="A2580" s="5">
        <v>0</v>
      </c>
      <c r="B2580" s="6" t="s">
        <v>14622</v>
      </c>
      <c r="C2580" s="13">
        <v>940.8</v>
      </c>
      <c r="D2580" s="8" t="s">
        <v>14623</v>
      </c>
      <c r="E2580" s="8" t="s">
        <v>14624</v>
      </c>
      <c r="F2580" s="8" t="s">
        <v>14625</v>
      </c>
      <c r="G2580" s="6" t="s">
        <v>38</v>
      </c>
      <c r="H2580" s="6" t="s">
        <v>182</v>
      </c>
      <c r="I2580" s="8" t="s">
        <v>40</v>
      </c>
      <c r="J2580" s="9">
        <v>1</v>
      </c>
      <c r="K2580" s="9">
        <v>170</v>
      </c>
      <c r="L2580" s="9">
        <v>2024</v>
      </c>
      <c r="M2580" s="8" t="s">
        <v>14626</v>
      </c>
      <c r="N2580" s="8" t="s">
        <v>42</v>
      </c>
      <c r="O2580" s="8" t="s">
        <v>246</v>
      </c>
      <c r="P2580" s="6" t="s">
        <v>44</v>
      </c>
      <c r="Q2580" s="8" t="s">
        <v>1152</v>
      </c>
      <c r="R2580" s="10" t="s">
        <v>2503</v>
      </c>
      <c r="S2580" s="11"/>
      <c r="T2580" s="6"/>
      <c r="U2580" s="24" t="str">
        <f>HYPERLINK("https://media.infra-m.ru/2044/2044353/cover/2044353.jpg", "Обложка")</f>
        <v>Обложка</v>
      </c>
      <c r="V2580" s="24" t="str">
        <f>HYPERLINK("https://znanium.ru/catalog/product/2044353", "Ознакомиться")</f>
        <v>Ознакомиться</v>
      </c>
      <c r="W2580" s="8" t="s">
        <v>14627</v>
      </c>
      <c r="X2580" s="6"/>
      <c r="Y2580" s="6"/>
      <c r="Z2580" s="6"/>
      <c r="AA2580" s="6" t="s">
        <v>127</v>
      </c>
      <c r="AB2580" s="8"/>
    </row>
    <row r="2581" spans="1:28" s="4" customFormat="1" ht="44.1" customHeight="1">
      <c r="A2581" s="5">
        <v>0</v>
      </c>
      <c r="B2581" s="6" t="s">
        <v>14628</v>
      </c>
      <c r="C2581" s="7">
        <v>1372.8</v>
      </c>
      <c r="D2581" s="8" t="s">
        <v>14629</v>
      </c>
      <c r="E2581" s="8" t="s">
        <v>14630</v>
      </c>
      <c r="F2581" s="8" t="s">
        <v>14631</v>
      </c>
      <c r="G2581" s="6" t="s">
        <v>132</v>
      </c>
      <c r="H2581" s="6" t="s">
        <v>99</v>
      </c>
      <c r="I2581" s="8"/>
      <c r="J2581" s="9">
        <v>1</v>
      </c>
      <c r="K2581" s="9">
        <v>208</v>
      </c>
      <c r="L2581" s="9">
        <v>2026</v>
      </c>
      <c r="M2581" s="8" t="s">
        <v>14632</v>
      </c>
      <c r="N2581" s="8" t="s">
        <v>42</v>
      </c>
      <c r="O2581" s="8" t="s">
        <v>101</v>
      </c>
      <c r="P2581" s="6" t="s">
        <v>44</v>
      </c>
      <c r="Q2581" s="8" t="s">
        <v>45</v>
      </c>
      <c r="R2581" s="10" t="s">
        <v>14633</v>
      </c>
      <c r="S2581" s="11"/>
      <c r="T2581" s="6"/>
      <c r="U2581" s="24" t="str">
        <f>HYPERLINK("https://media.infra-m.ru/2221/2221177/cover/2221177.jpg", "Обложка")</f>
        <v>Обложка</v>
      </c>
      <c r="V2581" s="24" t="str">
        <f>HYPERLINK("https://znanium.ru/catalog/product/2138189", "Ознакомиться")</f>
        <v>Ознакомиться</v>
      </c>
      <c r="W2581" s="8" t="s">
        <v>103</v>
      </c>
      <c r="X2581" s="6"/>
      <c r="Y2581" s="6"/>
      <c r="Z2581" s="6"/>
      <c r="AA2581" s="6" t="s">
        <v>58</v>
      </c>
      <c r="AB2581" s="8"/>
    </row>
    <row r="2582" spans="1:28" s="4" customFormat="1" ht="51.95" customHeight="1">
      <c r="A2582" s="5">
        <v>0</v>
      </c>
      <c r="B2582" s="6" t="s">
        <v>14634</v>
      </c>
      <c r="C2582" s="13">
        <v>768</v>
      </c>
      <c r="D2582" s="8" t="s">
        <v>14635</v>
      </c>
      <c r="E2582" s="8" t="s">
        <v>14636</v>
      </c>
      <c r="F2582" s="8" t="s">
        <v>1511</v>
      </c>
      <c r="G2582" s="6" t="s">
        <v>38</v>
      </c>
      <c r="H2582" s="6" t="s">
        <v>39</v>
      </c>
      <c r="I2582" s="8" t="s">
        <v>40</v>
      </c>
      <c r="J2582" s="9">
        <v>1</v>
      </c>
      <c r="K2582" s="9">
        <v>141</v>
      </c>
      <c r="L2582" s="9">
        <v>2023</v>
      </c>
      <c r="M2582" s="8" t="s">
        <v>14637</v>
      </c>
      <c r="N2582" s="8" t="s">
        <v>220</v>
      </c>
      <c r="O2582" s="8" t="s">
        <v>252</v>
      </c>
      <c r="P2582" s="6" t="s">
        <v>44</v>
      </c>
      <c r="Q2582" s="8" t="s">
        <v>45</v>
      </c>
      <c r="R2582" s="10" t="s">
        <v>14638</v>
      </c>
      <c r="S2582" s="11"/>
      <c r="T2582" s="6"/>
      <c r="U2582" s="24" t="str">
        <f>HYPERLINK("https://media.infra-m.ru/1911/1911732/cover/1911732.jpg", "Обложка")</f>
        <v>Обложка</v>
      </c>
      <c r="V2582" s="24" t="str">
        <f>HYPERLINK("https://znanium.ru/catalog/product/1911732", "Ознакомиться")</f>
        <v>Ознакомиться</v>
      </c>
      <c r="W2582" s="8" t="s">
        <v>1514</v>
      </c>
      <c r="X2582" s="6"/>
      <c r="Y2582" s="6"/>
      <c r="Z2582" s="6"/>
      <c r="AA2582" s="6" t="s">
        <v>339</v>
      </c>
      <c r="AB2582" s="8" t="s">
        <v>653</v>
      </c>
    </row>
    <row r="2583" spans="1:28" s="4" customFormat="1" ht="42" customHeight="1">
      <c r="A2583" s="5">
        <v>0</v>
      </c>
      <c r="B2583" s="6" t="s">
        <v>14639</v>
      </c>
      <c r="C2583" s="7">
        <v>1188</v>
      </c>
      <c r="D2583" s="8" t="s">
        <v>14640</v>
      </c>
      <c r="E2583" s="8" t="s">
        <v>14641</v>
      </c>
      <c r="F2583" s="8" t="s">
        <v>2318</v>
      </c>
      <c r="G2583" s="6" t="s">
        <v>38</v>
      </c>
      <c r="H2583" s="6" t="s">
        <v>39</v>
      </c>
      <c r="I2583" s="8" t="s">
        <v>40</v>
      </c>
      <c r="J2583" s="9">
        <v>1</v>
      </c>
      <c r="K2583" s="9">
        <v>212</v>
      </c>
      <c r="L2583" s="9">
        <v>2023</v>
      </c>
      <c r="M2583" s="8" t="s">
        <v>14642</v>
      </c>
      <c r="N2583" s="8" t="s">
        <v>42</v>
      </c>
      <c r="O2583" s="8" t="s">
        <v>189</v>
      </c>
      <c r="P2583" s="6" t="s">
        <v>44</v>
      </c>
      <c r="Q2583" s="8" t="s">
        <v>45</v>
      </c>
      <c r="R2583" s="10" t="s">
        <v>1426</v>
      </c>
      <c r="S2583" s="11"/>
      <c r="T2583" s="6"/>
      <c r="U2583" s="24" t="str">
        <f>HYPERLINK("https://media.infra-m.ru/1895/1895266/cover/1895266.jpg", "Обложка")</f>
        <v>Обложка</v>
      </c>
      <c r="V2583" s="24" t="str">
        <f>HYPERLINK("https://znanium.ru/catalog/product/1895266", "Ознакомиться")</f>
        <v>Ознакомиться</v>
      </c>
      <c r="W2583" s="8" t="s">
        <v>2320</v>
      </c>
      <c r="X2583" s="6"/>
      <c r="Y2583" s="6"/>
      <c r="Z2583" s="6"/>
      <c r="AA2583" s="6" t="s">
        <v>119</v>
      </c>
      <c r="AB2583" s="8"/>
    </row>
    <row r="2584" spans="1:28" s="4" customFormat="1" ht="44.1" customHeight="1">
      <c r="A2584" s="5">
        <v>0</v>
      </c>
      <c r="B2584" s="6" t="s">
        <v>14643</v>
      </c>
      <c r="C2584" s="13">
        <v>965.9</v>
      </c>
      <c r="D2584" s="8" t="s">
        <v>14644</v>
      </c>
      <c r="E2584" s="8" t="s">
        <v>14645</v>
      </c>
      <c r="F2584" s="8" t="s">
        <v>7652</v>
      </c>
      <c r="G2584" s="6" t="s">
        <v>38</v>
      </c>
      <c r="H2584" s="6" t="s">
        <v>39</v>
      </c>
      <c r="I2584" s="8" t="s">
        <v>40</v>
      </c>
      <c r="J2584" s="9">
        <v>1</v>
      </c>
      <c r="K2584" s="9">
        <v>238</v>
      </c>
      <c r="L2584" s="9">
        <v>2019</v>
      </c>
      <c r="M2584" s="8" t="s">
        <v>14646</v>
      </c>
      <c r="N2584" s="8" t="s">
        <v>42</v>
      </c>
      <c r="O2584" s="8" t="s">
        <v>65</v>
      </c>
      <c r="P2584" s="6" t="s">
        <v>44</v>
      </c>
      <c r="Q2584" s="8" t="s">
        <v>45</v>
      </c>
      <c r="R2584" s="10" t="s">
        <v>772</v>
      </c>
      <c r="S2584" s="11"/>
      <c r="T2584" s="6"/>
      <c r="U2584" s="24" t="str">
        <f>HYPERLINK("https://media.infra-m.ru/1009/1009970/cover/1009970.jpg", "Обложка")</f>
        <v>Обложка</v>
      </c>
      <c r="V2584" s="24" t="str">
        <f>HYPERLINK("https://znanium.ru/catalog/product/1009970", "Ознакомиться")</f>
        <v>Ознакомиться</v>
      </c>
      <c r="W2584" s="8" t="s">
        <v>846</v>
      </c>
      <c r="X2584" s="6"/>
      <c r="Y2584" s="6"/>
      <c r="Z2584" s="6"/>
      <c r="AA2584" s="6" t="s">
        <v>339</v>
      </c>
      <c r="AB2584" s="8"/>
    </row>
    <row r="2585" spans="1:28" s="4" customFormat="1" ht="51.95" customHeight="1">
      <c r="A2585" s="5">
        <v>0</v>
      </c>
      <c r="B2585" s="6" t="s">
        <v>14647</v>
      </c>
      <c r="C2585" s="7">
        <v>1324.8</v>
      </c>
      <c r="D2585" s="8" t="s">
        <v>14648</v>
      </c>
      <c r="E2585" s="8" t="s">
        <v>14649</v>
      </c>
      <c r="F2585" s="8" t="s">
        <v>14650</v>
      </c>
      <c r="G2585" s="6" t="s">
        <v>132</v>
      </c>
      <c r="H2585" s="6" t="s">
        <v>39</v>
      </c>
      <c r="I2585" s="8" t="s">
        <v>40</v>
      </c>
      <c r="J2585" s="9">
        <v>1</v>
      </c>
      <c r="K2585" s="9">
        <v>212</v>
      </c>
      <c r="L2585" s="9">
        <v>2026</v>
      </c>
      <c r="M2585" s="8" t="s">
        <v>14651</v>
      </c>
      <c r="N2585" s="8" t="s">
        <v>42</v>
      </c>
      <c r="O2585" s="8" t="s">
        <v>189</v>
      </c>
      <c r="P2585" s="6" t="s">
        <v>44</v>
      </c>
      <c r="Q2585" s="8" t="s">
        <v>45</v>
      </c>
      <c r="R2585" s="10" t="s">
        <v>14652</v>
      </c>
      <c r="S2585" s="11"/>
      <c r="T2585" s="6"/>
      <c r="U2585" s="24" t="str">
        <f>HYPERLINK("https://media.infra-m.ru/2221/2221552/cover/2221552.jpg", "Обложка")</f>
        <v>Обложка</v>
      </c>
      <c r="V2585" s="24" t="str">
        <f>HYPERLINK("https://znanium.ru/catalog/product/1893194", "Ознакомиться")</f>
        <v>Ознакомиться</v>
      </c>
      <c r="W2585" s="8" t="s">
        <v>3756</v>
      </c>
      <c r="X2585" s="6"/>
      <c r="Y2585" s="6"/>
      <c r="Z2585" s="6"/>
      <c r="AA2585" s="6" t="s">
        <v>119</v>
      </c>
      <c r="AB2585" s="8"/>
    </row>
    <row r="2586" spans="1:28" s="4" customFormat="1" ht="42" customHeight="1">
      <c r="A2586" s="5">
        <v>0</v>
      </c>
      <c r="B2586" s="6" t="s">
        <v>14653</v>
      </c>
      <c r="C2586" s="7">
        <v>1780.8</v>
      </c>
      <c r="D2586" s="8" t="s">
        <v>14654</v>
      </c>
      <c r="E2586" s="8" t="s">
        <v>14655</v>
      </c>
      <c r="F2586" s="8" t="s">
        <v>14656</v>
      </c>
      <c r="G2586" s="6" t="s">
        <v>81</v>
      </c>
      <c r="H2586" s="6" t="s">
        <v>39</v>
      </c>
      <c r="I2586" s="8" t="s">
        <v>40</v>
      </c>
      <c r="J2586" s="9">
        <v>1</v>
      </c>
      <c r="K2586" s="9">
        <v>270</v>
      </c>
      <c r="L2586" s="9">
        <v>2026</v>
      </c>
      <c r="M2586" s="8" t="s">
        <v>14657</v>
      </c>
      <c r="N2586" s="8" t="s">
        <v>42</v>
      </c>
      <c r="O2586" s="8" t="s">
        <v>189</v>
      </c>
      <c r="P2586" s="6" t="s">
        <v>44</v>
      </c>
      <c r="Q2586" s="8" t="s">
        <v>45</v>
      </c>
      <c r="R2586" s="10" t="s">
        <v>1419</v>
      </c>
      <c r="S2586" s="11"/>
      <c r="T2586" s="6"/>
      <c r="U2586" s="24" t="str">
        <f>HYPERLINK("https://media.infra-m.ru/2225/2225147/cover/2225147.jpg", "Обложка")</f>
        <v>Обложка</v>
      </c>
      <c r="V2586" s="24" t="str">
        <f>HYPERLINK("https://znanium.ru/catalog/product/2112508", "Ознакомиться")</f>
        <v>Ознакомиться</v>
      </c>
      <c r="W2586" s="8" t="s">
        <v>14658</v>
      </c>
      <c r="X2586" s="6"/>
      <c r="Y2586" s="6"/>
      <c r="Z2586" s="6"/>
      <c r="AA2586" s="6" t="s">
        <v>111</v>
      </c>
      <c r="AB2586" s="8"/>
    </row>
    <row r="2587" spans="1:28" s="4" customFormat="1" ht="42" customHeight="1">
      <c r="A2587" s="5">
        <v>0</v>
      </c>
      <c r="B2587" s="6" t="s">
        <v>14659</v>
      </c>
      <c r="C2587" s="13">
        <v>540</v>
      </c>
      <c r="D2587" s="8" t="s">
        <v>14660</v>
      </c>
      <c r="E2587" s="8" t="s">
        <v>14661</v>
      </c>
      <c r="F2587" s="8" t="s">
        <v>14662</v>
      </c>
      <c r="G2587" s="6" t="s">
        <v>38</v>
      </c>
      <c r="H2587" s="6" t="s">
        <v>39</v>
      </c>
      <c r="I2587" s="8" t="s">
        <v>40</v>
      </c>
      <c r="J2587" s="9">
        <v>1</v>
      </c>
      <c r="K2587" s="9">
        <v>86</v>
      </c>
      <c r="L2587" s="9">
        <v>2023</v>
      </c>
      <c r="M2587" s="8" t="s">
        <v>14663</v>
      </c>
      <c r="N2587" s="8" t="s">
        <v>220</v>
      </c>
      <c r="O2587" s="8" t="s">
        <v>221</v>
      </c>
      <c r="P2587" s="6" t="s">
        <v>44</v>
      </c>
      <c r="Q2587" s="8" t="s">
        <v>45</v>
      </c>
      <c r="R2587" s="10" t="s">
        <v>6792</v>
      </c>
      <c r="S2587" s="11"/>
      <c r="T2587" s="6"/>
      <c r="U2587" s="24" t="str">
        <f>HYPERLINK("https://media.infra-m.ru/2030/2030895/cover/2030895.jpg", "Обложка")</f>
        <v>Обложка</v>
      </c>
      <c r="V2587" s="24" t="str">
        <f>HYPERLINK("https://znanium.ru/catalog/product/2030895", "Ознакомиться")</f>
        <v>Ознакомиться</v>
      </c>
      <c r="W2587" s="8" t="s">
        <v>361</v>
      </c>
      <c r="X2587" s="6"/>
      <c r="Y2587" s="6"/>
      <c r="Z2587" s="6"/>
      <c r="AA2587" s="6" t="s">
        <v>76</v>
      </c>
      <c r="AB2587" s="8"/>
    </row>
    <row r="2588" spans="1:28" s="4" customFormat="1" ht="51.95" customHeight="1">
      <c r="A2588" s="5">
        <v>0</v>
      </c>
      <c r="B2588" s="6" t="s">
        <v>14664</v>
      </c>
      <c r="C2588" s="7">
        <v>1744.8</v>
      </c>
      <c r="D2588" s="8" t="s">
        <v>14665</v>
      </c>
      <c r="E2588" s="8" t="s">
        <v>14666</v>
      </c>
      <c r="F2588" s="8" t="s">
        <v>14667</v>
      </c>
      <c r="G2588" s="6" t="s">
        <v>38</v>
      </c>
      <c r="H2588" s="6" t="s">
        <v>39</v>
      </c>
      <c r="I2588" s="8" t="s">
        <v>40</v>
      </c>
      <c r="J2588" s="9">
        <v>1</v>
      </c>
      <c r="K2588" s="9">
        <v>160</v>
      </c>
      <c r="L2588" s="9">
        <v>2025</v>
      </c>
      <c r="M2588" s="8" t="s">
        <v>14668</v>
      </c>
      <c r="N2588" s="8" t="s">
        <v>42</v>
      </c>
      <c r="O2588" s="8" t="s">
        <v>189</v>
      </c>
      <c r="P2588" s="6" t="s">
        <v>44</v>
      </c>
      <c r="Q2588" s="8" t="s">
        <v>45</v>
      </c>
      <c r="R2588" s="10" t="s">
        <v>14669</v>
      </c>
      <c r="S2588" s="11"/>
      <c r="T2588" s="6"/>
      <c r="U2588" s="24" t="str">
        <f>HYPERLINK("https://media.infra-m.ru/2161/2161478/cover/2161478.jpg", "Обложка")</f>
        <v>Обложка</v>
      </c>
      <c r="V2588" s="24" t="str">
        <f>HYPERLINK("https://znanium.ru/catalog/product/1863937", "Ознакомиться")</f>
        <v>Ознакомиться</v>
      </c>
      <c r="W2588" s="8" t="s">
        <v>207</v>
      </c>
      <c r="X2588" s="6"/>
      <c r="Y2588" s="6"/>
      <c r="Z2588" s="6"/>
      <c r="AA2588" s="6" t="s">
        <v>111</v>
      </c>
      <c r="AB2588" s="8"/>
    </row>
    <row r="2589" spans="1:28" s="4" customFormat="1" ht="51.95" customHeight="1">
      <c r="A2589" s="5">
        <v>0</v>
      </c>
      <c r="B2589" s="6" t="s">
        <v>14670</v>
      </c>
      <c r="C2589" s="7">
        <v>2280</v>
      </c>
      <c r="D2589" s="8" t="s">
        <v>14671</v>
      </c>
      <c r="E2589" s="8" t="s">
        <v>14672</v>
      </c>
      <c r="F2589" s="8" t="s">
        <v>14673</v>
      </c>
      <c r="G2589" s="6" t="s">
        <v>81</v>
      </c>
      <c r="H2589" s="6" t="s">
        <v>39</v>
      </c>
      <c r="I2589" s="8" t="s">
        <v>40</v>
      </c>
      <c r="J2589" s="9">
        <v>1</v>
      </c>
      <c r="K2589" s="9">
        <v>381</v>
      </c>
      <c r="L2589" s="9">
        <v>2025</v>
      </c>
      <c r="M2589" s="8" t="s">
        <v>14674</v>
      </c>
      <c r="N2589" s="8" t="s">
        <v>42</v>
      </c>
      <c r="O2589" s="8" t="s">
        <v>189</v>
      </c>
      <c r="P2589" s="6" t="s">
        <v>44</v>
      </c>
      <c r="Q2589" s="8" t="s">
        <v>45</v>
      </c>
      <c r="R2589" s="10" t="s">
        <v>14675</v>
      </c>
      <c r="S2589" s="11"/>
      <c r="T2589" s="6"/>
      <c r="U2589" s="24" t="str">
        <f>HYPERLINK("https://media.infra-m.ru/2163/2163773/cover/2163773.jpg", "Обложка")</f>
        <v>Обложка</v>
      </c>
      <c r="V2589" s="24" t="str">
        <f>HYPERLINK("https://znanium.ru/catalog/product/2163773", "Ознакомиться")</f>
        <v>Ознакомиться</v>
      </c>
      <c r="W2589" s="8" t="s">
        <v>1929</v>
      </c>
      <c r="X2589" s="6"/>
      <c r="Y2589" s="6"/>
      <c r="Z2589" s="6"/>
      <c r="AA2589" s="6" t="s">
        <v>68</v>
      </c>
      <c r="AB2589" s="8" t="s">
        <v>653</v>
      </c>
    </row>
    <row r="2590" spans="1:28" s="4" customFormat="1" ht="42" customHeight="1">
      <c r="A2590" s="5">
        <v>0</v>
      </c>
      <c r="B2590" s="6" t="s">
        <v>14676</v>
      </c>
      <c r="C2590" s="7">
        <v>1188</v>
      </c>
      <c r="D2590" s="8" t="s">
        <v>14677</v>
      </c>
      <c r="E2590" s="8" t="s">
        <v>14678</v>
      </c>
      <c r="F2590" s="8" t="s">
        <v>14679</v>
      </c>
      <c r="G2590" s="6" t="s">
        <v>81</v>
      </c>
      <c r="H2590" s="6" t="s">
        <v>39</v>
      </c>
      <c r="I2590" s="8" t="s">
        <v>40</v>
      </c>
      <c r="J2590" s="9">
        <v>1</v>
      </c>
      <c r="K2590" s="9">
        <v>191</v>
      </c>
      <c r="L2590" s="9">
        <v>2025</v>
      </c>
      <c r="M2590" s="8" t="s">
        <v>14680</v>
      </c>
      <c r="N2590" s="8" t="s">
        <v>42</v>
      </c>
      <c r="O2590" s="8" t="s">
        <v>101</v>
      </c>
      <c r="P2590" s="6" t="s">
        <v>44</v>
      </c>
      <c r="Q2590" s="8" t="s">
        <v>45</v>
      </c>
      <c r="R2590" s="10" t="s">
        <v>2490</v>
      </c>
      <c r="S2590" s="11"/>
      <c r="T2590" s="6"/>
      <c r="U2590" s="24" t="str">
        <f>HYPERLINK("https://media.infra-m.ru/2196/2196649/cover/2196649.jpg", "Обложка")</f>
        <v>Обложка</v>
      </c>
      <c r="V2590" s="24" t="str">
        <f>HYPERLINK("https://znanium.ru/catalog/product/2196649", "Ознакомиться")</f>
        <v>Ознакомиться</v>
      </c>
      <c r="W2590" s="8" t="s">
        <v>418</v>
      </c>
      <c r="X2590" s="6"/>
      <c r="Y2590" s="6"/>
      <c r="Z2590" s="6"/>
      <c r="AA2590" s="6" t="s">
        <v>58</v>
      </c>
      <c r="AB2590" s="8"/>
    </row>
    <row r="2591" spans="1:28" s="4" customFormat="1" ht="42" customHeight="1">
      <c r="A2591" s="5">
        <v>0</v>
      </c>
      <c r="B2591" s="6" t="s">
        <v>14681</v>
      </c>
      <c r="C2591" s="13">
        <v>960</v>
      </c>
      <c r="D2591" s="8" t="s">
        <v>14682</v>
      </c>
      <c r="E2591" s="8" t="s">
        <v>14683</v>
      </c>
      <c r="F2591" s="8" t="s">
        <v>14684</v>
      </c>
      <c r="G2591" s="6" t="s">
        <v>38</v>
      </c>
      <c r="H2591" s="6" t="s">
        <v>39</v>
      </c>
      <c r="I2591" s="8" t="s">
        <v>40</v>
      </c>
      <c r="J2591" s="9">
        <v>1</v>
      </c>
      <c r="K2591" s="9">
        <v>171</v>
      </c>
      <c r="L2591" s="9">
        <v>2023</v>
      </c>
      <c r="M2591" s="8" t="s">
        <v>14685</v>
      </c>
      <c r="N2591" s="8" t="s">
        <v>42</v>
      </c>
      <c r="O2591" s="8" t="s">
        <v>246</v>
      </c>
      <c r="P2591" s="6" t="s">
        <v>44</v>
      </c>
      <c r="Q2591" s="8" t="s">
        <v>45</v>
      </c>
      <c r="R2591" s="10" t="s">
        <v>1100</v>
      </c>
      <c r="S2591" s="11"/>
      <c r="T2591" s="6"/>
      <c r="U2591" s="24" t="str">
        <f>HYPERLINK("https://media.infra-m.ru/1900/1900981/cover/1900981.jpg", "Обложка")</f>
        <v>Обложка</v>
      </c>
      <c r="V2591" s="24" t="str">
        <f>HYPERLINK("https://znanium.ru/catalog/product/1900981", "Ознакомиться")</f>
        <v>Ознакомиться</v>
      </c>
      <c r="W2591" s="8"/>
      <c r="X2591" s="6"/>
      <c r="Y2591" s="6"/>
      <c r="Z2591" s="6"/>
      <c r="AA2591" s="6" t="s">
        <v>119</v>
      </c>
      <c r="AB2591" s="8"/>
    </row>
    <row r="2592" spans="1:28" s="4" customFormat="1" ht="51.95" customHeight="1">
      <c r="A2592" s="5">
        <v>0</v>
      </c>
      <c r="B2592" s="6" t="s">
        <v>14686</v>
      </c>
      <c r="C2592" s="7">
        <v>1236</v>
      </c>
      <c r="D2592" s="8" t="s">
        <v>14687</v>
      </c>
      <c r="E2592" s="8" t="s">
        <v>14688</v>
      </c>
      <c r="F2592" s="8" t="s">
        <v>14689</v>
      </c>
      <c r="G2592" s="6" t="s">
        <v>132</v>
      </c>
      <c r="H2592" s="6" t="s">
        <v>39</v>
      </c>
      <c r="I2592" s="8" t="s">
        <v>164</v>
      </c>
      <c r="J2592" s="9">
        <v>1</v>
      </c>
      <c r="K2592" s="9">
        <v>209</v>
      </c>
      <c r="L2592" s="9">
        <v>2024</v>
      </c>
      <c r="M2592" s="8" t="s">
        <v>14690</v>
      </c>
      <c r="N2592" s="8" t="s">
        <v>284</v>
      </c>
      <c r="O2592" s="8" t="s">
        <v>383</v>
      </c>
      <c r="P2592" s="6" t="s">
        <v>44</v>
      </c>
      <c r="Q2592" s="8" t="s">
        <v>45</v>
      </c>
      <c r="R2592" s="10" t="s">
        <v>14691</v>
      </c>
      <c r="S2592" s="11"/>
      <c r="T2592" s="6"/>
      <c r="U2592" s="24" t="str">
        <f>HYPERLINK("https://media.infra-m.ru/2122/2122428/cover/2122428.jpg", "Обложка")</f>
        <v>Обложка</v>
      </c>
      <c r="V2592" s="24" t="str">
        <f>HYPERLINK("https://znanium.ru/catalog/product/2122428", "Ознакомиться")</f>
        <v>Ознакомиться</v>
      </c>
      <c r="W2592" s="8" t="s">
        <v>167</v>
      </c>
      <c r="X2592" s="6"/>
      <c r="Y2592" s="6"/>
      <c r="Z2592" s="6"/>
      <c r="AA2592" s="6" t="s">
        <v>58</v>
      </c>
      <c r="AB2592" s="8"/>
    </row>
    <row r="2593" spans="1:28" s="4" customFormat="1" ht="51.95" customHeight="1">
      <c r="A2593" s="5">
        <v>0</v>
      </c>
      <c r="B2593" s="6" t="s">
        <v>14692</v>
      </c>
      <c r="C2593" s="7">
        <v>1284</v>
      </c>
      <c r="D2593" s="8" t="s">
        <v>14693</v>
      </c>
      <c r="E2593" s="8" t="s">
        <v>14694</v>
      </c>
      <c r="F2593" s="8" t="s">
        <v>14695</v>
      </c>
      <c r="G2593" s="6" t="s">
        <v>81</v>
      </c>
      <c r="H2593" s="6" t="s">
        <v>39</v>
      </c>
      <c r="I2593" s="8" t="s">
        <v>164</v>
      </c>
      <c r="J2593" s="9">
        <v>1</v>
      </c>
      <c r="K2593" s="9">
        <v>204</v>
      </c>
      <c r="L2593" s="9">
        <v>2025</v>
      </c>
      <c r="M2593" s="8" t="s">
        <v>14696</v>
      </c>
      <c r="N2593" s="8" t="s">
        <v>42</v>
      </c>
      <c r="O2593" s="8" t="s">
        <v>246</v>
      </c>
      <c r="P2593" s="6" t="s">
        <v>44</v>
      </c>
      <c r="Q2593" s="8" t="s">
        <v>45</v>
      </c>
      <c r="R2593" s="10" t="s">
        <v>14697</v>
      </c>
      <c r="S2593" s="11"/>
      <c r="T2593" s="6"/>
      <c r="U2593" s="24" t="str">
        <f>HYPERLINK("https://media.infra-m.ru/2196/2196342/cover/2196342.jpg", "Обложка")</f>
        <v>Обложка</v>
      </c>
      <c r="V2593" s="24" t="str">
        <f>HYPERLINK("https://znanium.ru/catalog/product/2196342", "Ознакомиться")</f>
        <v>Ознакомиться</v>
      </c>
      <c r="W2593" s="8" t="s">
        <v>167</v>
      </c>
      <c r="X2593" s="6"/>
      <c r="Y2593" s="6"/>
      <c r="Z2593" s="6"/>
      <c r="AA2593" s="6" t="s">
        <v>58</v>
      </c>
      <c r="AB2593" s="8"/>
    </row>
    <row r="2594" spans="1:28" s="4" customFormat="1" ht="44.1" customHeight="1">
      <c r="A2594" s="5">
        <v>0</v>
      </c>
      <c r="B2594" s="6" t="s">
        <v>14698</v>
      </c>
      <c r="C2594" s="7">
        <v>1152</v>
      </c>
      <c r="D2594" s="8" t="s">
        <v>14699</v>
      </c>
      <c r="E2594" s="8" t="s">
        <v>14700</v>
      </c>
      <c r="F2594" s="8" t="s">
        <v>14701</v>
      </c>
      <c r="G2594" s="6" t="s">
        <v>38</v>
      </c>
      <c r="H2594" s="6" t="s">
        <v>39</v>
      </c>
      <c r="I2594" s="8" t="s">
        <v>40</v>
      </c>
      <c r="J2594" s="9">
        <v>1</v>
      </c>
      <c r="K2594" s="9">
        <v>213</v>
      </c>
      <c r="L2594" s="9">
        <v>2023</v>
      </c>
      <c r="M2594" s="8" t="s">
        <v>14702</v>
      </c>
      <c r="N2594" s="8" t="s">
        <v>42</v>
      </c>
      <c r="O2594" s="8" t="s">
        <v>246</v>
      </c>
      <c r="P2594" s="6" t="s">
        <v>44</v>
      </c>
      <c r="Q2594" s="8" t="s">
        <v>45</v>
      </c>
      <c r="R2594" s="10" t="s">
        <v>5828</v>
      </c>
      <c r="S2594" s="11"/>
      <c r="T2594" s="6"/>
      <c r="U2594" s="24" t="str">
        <f>HYPERLINK("https://media.infra-m.ru/1971/1971822/cover/1971822.jpg", "Обложка")</f>
        <v>Обложка</v>
      </c>
      <c r="V2594" s="24" t="str">
        <f>HYPERLINK("https://znanium.ru/catalog/product/1971822", "Ознакомиться")</f>
        <v>Ознакомиться</v>
      </c>
      <c r="W2594" s="8" t="s">
        <v>14703</v>
      </c>
      <c r="X2594" s="6"/>
      <c r="Y2594" s="6"/>
      <c r="Z2594" s="6"/>
      <c r="AA2594" s="6" t="s">
        <v>111</v>
      </c>
      <c r="AB2594" s="8"/>
    </row>
    <row r="2595" spans="1:28" s="4" customFormat="1" ht="51.95" customHeight="1">
      <c r="A2595" s="5">
        <v>0</v>
      </c>
      <c r="B2595" s="6" t="s">
        <v>14704</v>
      </c>
      <c r="C2595" s="7">
        <v>1500</v>
      </c>
      <c r="D2595" s="8" t="s">
        <v>14705</v>
      </c>
      <c r="E2595" s="8" t="s">
        <v>14706</v>
      </c>
      <c r="F2595" s="8" t="s">
        <v>14707</v>
      </c>
      <c r="G2595" s="6" t="s">
        <v>132</v>
      </c>
      <c r="H2595" s="6" t="s">
        <v>39</v>
      </c>
      <c r="I2595" s="8" t="s">
        <v>40</v>
      </c>
      <c r="J2595" s="9">
        <v>1</v>
      </c>
      <c r="K2595" s="9">
        <v>225</v>
      </c>
      <c r="L2595" s="9">
        <v>2026</v>
      </c>
      <c r="M2595" s="8" t="s">
        <v>14708</v>
      </c>
      <c r="N2595" s="8" t="s">
        <v>42</v>
      </c>
      <c r="O2595" s="8" t="s">
        <v>101</v>
      </c>
      <c r="P2595" s="6" t="s">
        <v>44</v>
      </c>
      <c r="Q2595" s="8" t="s">
        <v>45</v>
      </c>
      <c r="R2595" s="10" t="s">
        <v>14709</v>
      </c>
      <c r="S2595" s="11"/>
      <c r="T2595" s="6"/>
      <c r="U2595" s="24" t="str">
        <f>HYPERLINK("https://media.infra-m.ru/2219/2219638/cover/2219638.jpg", "Обложка")</f>
        <v>Обложка</v>
      </c>
      <c r="V2595" s="12"/>
      <c r="W2595" s="8" t="s">
        <v>509</v>
      </c>
      <c r="X2595" s="6" t="s">
        <v>838</v>
      </c>
      <c r="Y2595" s="6"/>
      <c r="Z2595" s="6"/>
      <c r="AA2595" s="6" t="s">
        <v>833</v>
      </c>
      <c r="AB2595" s="8"/>
    </row>
    <row r="2596" spans="1:28" s="4" customFormat="1" ht="42" customHeight="1">
      <c r="A2596" s="5">
        <v>0</v>
      </c>
      <c r="B2596" s="6" t="s">
        <v>14710</v>
      </c>
      <c r="C2596" s="7">
        <v>1168.8</v>
      </c>
      <c r="D2596" s="8" t="s">
        <v>14711</v>
      </c>
      <c r="E2596" s="8" t="s">
        <v>14712</v>
      </c>
      <c r="F2596" s="8" t="s">
        <v>14713</v>
      </c>
      <c r="G2596" s="6" t="s">
        <v>38</v>
      </c>
      <c r="H2596" s="6" t="s">
        <v>99</v>
      </c>
      <c r="I2596" s="8"/>
      <c r="J2596" s="9">
        <v>5</v>
      </c>
      <c r="K2596" s="9">
        <v>208</v>
      </c>
      <c r="L2596" s="9">
        <v>2024</v>
      </c>
      <c r="M2596" s="8" t="s">
        <v>14714</v>
      </c>
      <c r="N2596" s="8" t="s">
        <v>42</v>
      </c>
      <c r="O2596" s="8" t="s">
        <v>101</v>
      </c>
      <c r="P2596" s="6" t="s">
        <v>44</v>
      </c>
      <c r="Q2596" s="8" t="s">
        <v>45</v>
      </c>
      <c r="R2596" s="10" t="s">
        <v>874</v>
      </c>
      <c r="S2596" s="11"/>
      <c r="T2596" s="6"/>
      <c r="U2596" s="24" t="str">
        <f>HYPERLINK("https://media.infra-m.ru/1911/1911792/cover/1911792.jpg", "Обложка")</f>
        <v>Обложка</v>
      </c>
      <c r="V2596" s="24" t="str">
        <f>HYPERLINK("https://znanium.ru/catalog/product/1007473", "Ознакомиться")</f>
        <v>Ознакомиться</v>
      </c>
      <c r="W2596" s="8" t="s">
        <v>361</v>
      </c>
      <c r="X2596" s="6"/>
      <c r="Y2596" s="6"/>
      <c r="Z2596" s="6"/>
      <c r="AA2596" s="6" t="s">
        <v>377</v>
      </c>
      <c r="AB2596" s="8"/>
    </row>
    <row r="2597" spans="1:28" s="4" customFormat="1" ht="42" customHeight="1">
      <c r="A2597" s="5">
        <v>0</v>
      </c>
      <c r="B2597" s="6" t="s">
        <v>14715</v>
      </c>
      <c r="C2597" s="7">
        <v>2148</v>
      </c>
      <c r="D2597" s="8" t="s">
        <v>14716</v>
      </c>
      <c r="E2597" s="8" t="s">
        <v>14717</v>
      </c>
      <c r="F2597" s="8" t="s">
        <v>14718</v>
      </c>
      <c r="G2597" s="6" t="s">
        <v>132</v>
      </c>
      <c r="H2597" s="6" t="s">
        <v>39</v>
      </c>
      <c r="I2597" s="8" t="s">
        <v>2342</v>
      </c>
      <c r="J2597" s="9">
        <v>1</v>
      </c>
      <c r="K2597" s="9">
        <v>352</v>
      </c>
      <c r="L2597" s="9">
        <v>2025</v>
      </c>
      <c r="M2597" s="8" t="s">
        <v>14719</v>
      </c>
      <c r="N2597" s="8" t="s">
        <v>42</v>
      </c>
      <c r="O2597" s="8" t="s">
        <v>2306</v>
      </c>
      <c r="P2597" s="6" t="s">
        <v>44</v>
      </c>
      <c r="Q2597" s="8" t="s">
        <v>45</v>
      </c>
      <c r="R2597" s="10" t="s">
        <v>14720</v>
      </c>
      <c r="S2597" s="11"/>
      <c r="T2597" s="6"/>
      <c r="U2597" s="24" t="str">
        <f>HYPERLINK("https://media.infra-m.ru/2167/2167513/cover/2167513.jpg", "Обложка")</f>
        <v>Обложка</v>
      </c>
      <c r="V2597" s="24" t="str">
        <f>HYPERLINK("https://znanium.ru/catalog/product/2167513", "Ознакомиться")</f>
        <v>Ознакомиться</v>
      </c>
      <c r="W2597" s="8" t="s">
        <v>2067</v>
      </c>
      <c r="X2597" s="6" t="s">
        <v>558</v>
      </c>
      <c r="Y2597" s="6"/>
      <c r="Z2597" s="6"/>
      <c r="AA2597" s="6" t="s">
        <v>159</v>
      </c>
      <c r="AB2597" s="8"/>
    </row>
    <row r="2598" spans="1:28" s="4" customFormat="1" ht="51.95" customHeight="1">
      <c r="A2598" s="5">
        <v>0</v>
      </c>
      <c r="B2598" s="6" t="s">
        <v>14721</v>
      </c>
      <c r="C2598" s="7">
        <v>1536</v>
      </c>
      <c r="D2598" s="8" t="s">
        <v>14722</v>
      </c>
      <c r="E2598" s="8" t="s">
        <v>14723</v>
      </c>
      <c r="F2598" s="8" t="s">
        <v>14724</v>
      </c>
      <c r="G2598" s="6" t="s">
        <v>38</v>
      </c>
      <c r="H2598" s="6" t="s">
        <v>39</v>
      </c>
      <c r="I2598" s="8" t="s">
        <v>40</v>
      </c>
      <c r="J2598" s="9">
        <v>1</v>
      </c>
      <c r="K2598" s="9">
        <v>336</v>
      </c>
      <c r="L2598" s="9">
        <v>2022</v>
      </c>
      <c r="M2598" s="8" t="s">
        <v>14725</v>
      </c>
      <c r="N2598" s="8" t="s">
        <v>54</v>
      </c>
      <c r="O2598" s="8" t="s">
        <v>91</v>
      </c>
      <c r="P2598" s="6" t="s">
        <v>44</v>
      </c>
      <c r="Q2598" s="8" t="s">
        <v>45</v>
      </c>
      <c r="R2598" s="10" t="s">
        <v>14726</v>
      </c>
      <c r="S2598" s="11"/>
      <c r="T2598" s="6"/>
      <c r="U2598" s="24" t="str">
        <f>HYPERLINK("https://media.infra-m.ru/1864/1864135/cover/1864135.jpg", "Обложка")</f>
        <v>Обложка</v>
      </c>
      <c r="V2598" s="24" t="str">
        <f>HYPERLINK("https://znanium.ru/catalog/product/1864135", "Ознакомиться")</f>
        <v>Ознакомиться</v>
      </c>
      <c r="W2598" s="8" t="s">
        <v>232</v>
      </c>
      <c r="X2598" s="6"/>
      <c r="Y2598" s="6"/>
      <c r="Z2598" s="6"/>
      <c r="AA2598" s="6" t="s">
        <v>199</v>
      </c>
      <c r="AB2598" s="8"/>
    </row>
    <row r="2599" spans="1:28" s="4" customFormat="1" ht="51.95" customHeight="1">
      <c r="A2599" s="5">
        <v>0</v>
      </c>
      <c r="B2599" s="6" t="s">
        <v>14727</v>
      </c>
      <c r="C2599" s="7">
        <v>1236</v>
      </c>
      <c r="D2599" s="8" t="s">
        <v>14728</v>
      </c>
      <c r="E2599" s="8" t="s">
        <v>14729</v>
      </c>
      <c r="F2599" s="8" t="s">
        <v>14730</v>
      </c>
      <c r="G2599" s="6" t="s">
        <v>38</v>
      </c>
      <c r="H2599" s="6" t="s">
        <v>39</v>
      </c>
      <c r="I2599" s="8" t="s">
        <v>40</v>
      </c>
      <c r="J2599" s="9">
        <v>1</v>
      </c>
      <c r="K2599" s="9">
        <v>229</v>
      </c>
      <c r="L2599" s="9">
        <v>2023</v>
      </c>
      <c r="M2599" s="8" t="s">
        <v>14731</v>
      </c>
      <c r="N2599" s="8" t="s">
        <v>42</v>
      </c>
      <c r="O2599" s="8" t="s">
        <v>65</v>
      </c>
      <c r="P2599" s="6" t="s">
        <v>44</v>
      </c>
      <c r="Q2599" s="8" t="s">
        <v>45</v>
      </c>
      <c r="R2599" s="10" t="s">
        <v>14732</v>
      </c>
      <c r="S2599" s="11"/>
      <c r="T2599" s="6"/>
      <c r="U2599" s="24" t="str">
        <f>HYPERLINK("https://media.infra-m.ru/1905/1905561/cover/1905561.jpg", "Обложка")</f>
        <v>Обложка</v>
      </c>
      <c r="V2599" s="24" t="str">
        <f>HYPERLINK("https://znanium.ru/catalog/product/1905561", "Ознакомиться")</f>
        <v>Ознакомиться</v>
      </c>
      <c r="W2599" s="8" t="s">
        <v>601</v>
      </c>
      <c r="X2599" s="6"/>
      <c r="Y2599" s="6"/>
      <c r="Z2599" s="6"/>
      <c r="AA2599" s="6" t="s">
        <v>76</v>
      </c>
      <c r="AB2599" s="8"/>
    </row>
    <row r="2600" spans="1:28" s="4" customFormat="1" ht="51.95" customHeight="1">
      <c r="A2600" s="5">
        <v>0</v>
      </c>
      <c r="B2600" s="6" t="s">
        <v>14733</v>
      </c>
      <c r="C2600" s="7">
        <v>1188</v>
      </c>
      <c r="D2600" s="8" t="s">
        <v>14734</v>
      </c>
      <c r="E2600" s="8" t="s">
        <v>14735</v>
      </c>
      <c r="F2600" s="8" t="s">
        <v>10180</v>
      </c>
      <c r="G2600" s="6" t="s">
        <v>81</v>
      </c>
      <c r="H2600" s="6" t="s">
        <v>39</v>
      </c>
      <c r="I2600" s="8" t="s">
        <v>40</v>
      </c>
      <c r="J2600" s="9">
        <v>1</v>
      </c>
      <c r="K2600" s="9">
        <v>208</v>
      </c>
      <c r="L2600" s="9">
        <v>2024</v>
      </c>
      <c r="M2600" s="8" t="s">
        <v>14736</v>
      </c>
      <c r="N2600" s="8" t="s">
        <v>54</v>
      </c>
      <c r="O2600" s="8" t="s">
        <v>117</v>
      </c>
      <c r="P2600" s="6" t="s">
        <v>44</v>
      </c>
      <c r="Q2600" s="8" t="s">
        <v>45</v>
      </c>
      <c r="R2600" s="10" t="s">
        <v>14737</v>
      </c>
      <c r="S2600" s="11"/>
      <c r="T2600" s="6"/>
      <c r="U2600" s="24" t="str">
        <f>HYPERLINK("https://media.infra-m.ru/2059/2059569/cover/2059569.jpg", "Обложка")</f>
        <v>Обложка</v>
      </c>
      <c r="V2600" s="24" t="str">
        <f>HYPERLINK("https://znanium.ru/catalog/product/2059569", "Ознакомиться")</f>
        <v>Ознакомиться</v>
      </c>
      <c r="W2600" s="8" t="s">
        <v>3163</v>
      </c>
      <c r="X2600" s="6"/>
      <c r="Y2600" s="6"/>
      <c r="Z2600" s="6"/>
      <c r="AA2600" s="6" t="s">
        <v>68</v>
      </c>
      <c r="AB2600" s="8"/>
    </row>
    <row r="2601" spans="1:28" s="4" customFormat="1" ht="44.1" customHeight="1">
      <c r="A2601" s="5">
        <v>0</v>
      </c>
      <c r="B2601" s="6" t="s">
        <v>14738</v>
      </c>
      <c r="C2601" s="7">
        <v>2476.8000000000002</v>
      </c>
      <c r="D2601" s="8" t="s">
        <v>14739</v>
      </c>
      <c r="E2601" s="8" t="s">
        <v>14740</v>
      </c>
      <c r="F2601" s="8" t="s">
        <v>14741</v>
      </c>
      <c r="G2601" s="6" t="s">
        <v>132</v>
      </c>
      <c r="H2601" s="6" t="s">
        <v>99</v>
      </c>
      <c r="I2601" s="8"/>
      <c r="J2601" s="9">
        <v>1</v>
      </c>
      <c r="K2601" s="9">
        <v>384</v>
      </c>
      <c r="L2601" s="9">
        <v>2026</v>
      </c>
      <c r="M2601" s="8" t="s">
        <v>14742</v>
      </c>
      <c r="N2601" s="8" t="s">
        <v>42</v>
      </c>
      <c r="O2601" s="8" t="s">
        <v>101</v>
      </c>
      <c r="P2601" s="6" t="s">
        <v>44</v>
      </c>
      <c r="Q2601" s="8" t="s">
        <v>45</v>
      </c>
      <c r="R2601" s="10" t="s">
        <v>1587</v>
      </c>
      <c r="S2601" s="11"/>
      <c r="T2601" s="6"/>
      <c r="U2601" s="12"/>
      <c r="V2601" s="24" t="str">
        <f>HYPERLINK("https://znanium.ru/catalog/product/1206686", "Ознакомиться")</f>
        <v>Ознакомиться</v>
      </c>
      <c r="W2601" s="8" t="s">
        <v>565</v>
      </c>
      <c r="X2601" s="6"/>
      <c r="Y2601" s="6"/>
      <c r="Z2601" s="6"/>
      <c r="AA2601" s="6" t="s">
        <v>241</v>
      </c>
      <c r="AB2601" s="8"/>
    </row>
    <row r="2602" spans="1:28" s="4" customFormat="1" ht="51.95" customHeight="1">
      <c r="A2602" s="5">
        <v>0</v>
      </c>
      <c r="B2602" s="6" t="s">
        <v>14743</v>
      </c>
      <c r="C2602" s="7">
        <v>1584</v>
      </c>
      <c r="D2602" s="8" t="s">
        <v>14744</v>
      </c>
      <c r="E2602" s="8" t="s">
        <v>14745</v>
      </c>
      <c r="F2602" s="8" t="s">
        <v>14746</v>
      </c>
      <c r="G2602" s="6" t="s">
        <v>132</v>
      </c>
      <c r="H2602" s="6" t="s">
        <v>39</v>
      </c>
      <c r="I2602" s="8" t="s">
        <v>40</v>
      </c>
      <c r="J2602" s="9">
        <v>1</v>
      </c>
      <c r="K2602" s="9">
        <v>351</v>
      </c>
      <c r="L2602" s="9">
        <v>2022</v>
      </c>
      <c r="M2602" s="8" t="s">
        <v>14747</v>
      </c>
      <c r="N2602" s="8" t="s">
        <v>54</v>
      </c>
      <c r="O2602" s="8" t="s">
        <v>91</v>
      </c>
      <c r="P2602" s="6" t="s">
        <v>44</v>
      </c>
      <c r="Q2602" s="8" t="s">
        <v>45</v>
      </c>
      <c r="R2602" s="10" t="s">
        <v>14748</v>
      </c>
      <c r="S2602" s="11"/>
      <c r="T2602" s="6"/>
      <c r="U2602" s="24" t="str">
        <f>HYPERLINK("https://media.infra-m.ru/1740/1740254/cover/1740254.jpg", "Обложка")</f>
        <v>Обложка</v>
      </c>
      <c r="V2602" s="24" t="str">
        <f>HYPERLINK("https://znanium.ru/catalog/product/1740254", "Ознакомиться")</f>
        <v>Ознакомиться</v>
      </c>
      <c r="W2602" s="8" t="s">
        <v>391</v>
      </c>
      <c r="X2602" s="6"/>
      <c r="Y2602" s="6"/>
      <c r="Z2602" s="6"/>
      <c r="AA2602" s="6" t="s">
        <v>111</v>
      </c>
      <c r="AB2602" s="8"/>
    </row>
    <row r="2603" spans="1:28" s="4" customFormat="1" ht="51.95" customHeight="1">
      <c r="A2603" s="5">
        <v>0</v>
      </c>
      <c r="B2603" s="6" t="s">
        <v>14749</v>
      </c>
      <c r="C2603" s="13">
        <v>864</v>
      </c>
      <c r="D2603" s="8" t="s">
        <v>14750</v>
      </c>
      <c r="E2603" s="8" t="s">
        <v>14751</v>
      </c>
      <c r="F2603" s="8" t="s">
        <v>14752</v>
      </c>
      <c r="G2603" s="6" t="s">
        <v>38</v>
      </c>
      <c r="H2603" s="6" t="s">
        <v>39</v>
      </c>
      <c r="I2603" s="8" t="s">
        <v>40</v>
      </c>
      <c r="J2603" s="9">
        <v>1</v>
      </c>
      <c r="K2603" s="9">
        <v>140</v>
      </c>
      <c r="L2603" s="9">
        <v>2024</v>
      </c>
      <c r="M2603" s="8" t="s">
        <v>14753</v>
      </c>
      <c r="N2603" s="8" t="s">
        <v>42</v>
      </c>
      <c r="O2603" s="8" t="s">
        <v>65</v>
      </c>
      <c r="P2603" s="6" t="s">
        <v>44</v>
      </c>
      <c r="Q2603" s="8" t="s">
        <v>45</v>
      </c>
      <c r="R2603" s="10" t="s">
        <v>14754</v>
      </c>
      <c r="S2603" s="11"/>
      <c r="T2603" s="6"/>
      <c r="U2603" s="24" t="str">
        <f>HYPERLINK("https://media.infra-m.ru/2086/2086348/cover/2086348.jpg", "Обложка")</f>
        <v>Обложка</v>
      </c>
      <c r="V2603" s="24" t="str">
        <f>HYPERLINK("https://znanium.ru/catalog/product/2086348", "Ознакомиться")</f>
        <v>Ознакомиться</v>
      </c>
      <c r="W2603" s="8" t="s">
        <v>1349</v>
      </c>
      <c r="X2603" s="6"/>
      <c r="Y2603" s="6"/>
      <c r="Z2603" s="6"/>
      <c r="AA2603" s="6" t="s">
        <v>58</v>
      </c>
      <c r="AB2603" s="8"/>
    </row>
    <row r="2604" spans="1:28" s="4" customFormat="1" ht="42" customHeight="1">
      <c r="A2604" s="5">
        <v>0</v>
      </c>
      <c r="B2604" s="6" t="s">
        <v>14755</v>
      </c>
      <c r="C2604" s="13">
        <v>732</v>
      </c>
      <c r="D2604" s="8" t="s">
        <v>14756</v>
      </c>
      <c r="E2604" s="8" t="s">
        <v>14757</v>
      </c>
      <c r="F2604" s="8" t="s">
        <v>14758</v>
      </c>
      <c r="G2604" s="6" t="s">
        <v>38</v>
      </c>
      <c r="H2604" s="6" t="s">
        <v>182</v>
      </c>
      <c r="I2604" s="8"/>
      <c r="J2604" s="9">
        <v>1</v>
      </c>
      <c r="K2604" s="9">
        <v>149</v>
      </c>
      <c r="L2604" s="9">
        <v>2022</v>
      </c>
      <c r="M2604" s="8" t="s">
        <v>14759</v>
      </c>
      <c r="N2604" s="8" t="s">
        <v>42</v>
      </c>
      <c r="O2604" s="8" t="s">
        <v>189</v>
      </c>
      <c r="P2604" s="6" t="s">
        <v>44</v>
      </c>
      <c r="Q2604" s="8" t="s">
        <v>45</v>
      </c>
      <c r="R2604" s="10" t="s">
        <v>6226</v>
      </c>
      <c r="S2604" s="11"/>
      <c r="T2604" s="6"/>
      <c r="U2604" s="24" t="str">
        <f>HYPERLINK("https://media.infra-m.ru/1856/1856002/cover/1856002.jpg", "Обложка")</f>
        <v>Обложка</v>
      </c>
      <c r="V2604" s="24" t="str">
        <f>HYPERLINK("https://znanium.ru/catalog/product/1856002", "Ознакомиться")</f>
        <v>Ознакомиться</v>
      </c>
      <c r="W2604" s="8" t="s">
        <v>2398</v>
      </c>
      <c r="X2604" s="6"/>
      <c r="Y2604" s="6"/>
      <c r="Z2604" s="6"/>
      <c r="AA2604" s="6" t="s">
        <v>68</v>
      </c>
      <c r="AB2604" s="8"/>
    </row>
    <row r="2605" spans="1:28" s="4" customFormat="1" ht="51.95" customHeight="1">
      <c r="A2605" s="5">
        <v>0</v>
      </c>
      <c r="B2605" s="6" t="s">
        <v>14760</v>
      </c>
      <c r="C2605" s="7">
        <v>1792.8</v>
      </c>
      <c r="D2605" s="8" t="s">
        <v>14761</v>
      </c>
      <c r="E2605" s="8" t="s">
        <v>14762</v>
      </c>
      <c r="F2605" s="8" t="s">
        <v>14763</v>
      </c>
      <c r="G2605" s="6" t="s">
        <v>38</v>
      </c>
      <c r="H2605" s="6" t="s">
        <v>39</v>
      </c>
      <c r="I2605" s="8" t="s">
        <v>40</v>
      </c>
      <c r="J2605" s="9">
        <v>1</v>
      </c>
      <c r="K2605" s="9">
        <v>290</v>
      </c>
      <c r="L2605" s="9">
        <v>2025</v>
      </c>
      <c r="M2605" s="8" t="s">
        <v>14764</v>
      </c>
      <c r="N2605" s="8" t="s">
        <v>42</v>
      </c>
      <c r="O2605" s="8" t="s">
        <v>246</v>
      </c>
      <c r="P2605" s="6" t="s">
        <v>44</v>
      </c>
      <c r="Q2605" s="8" t="s">
        <v>45</v>
      </c>
      <c r="R2605" s="10" t="s">
        <v>14765</v>
      </c>
      <c r="S2605" s="11"/>
      <c r="T2605" s="6"/>
      <c r="U2605" s="24" t="str">
        <f>HYPERLINK("https://media.infra-m.ru/2191/2191604/cover/2191604.jpg", "Обложка")</f>
        <v>Обложка</v>
      </c>
      <c r="V2605" s="24" t="str">
        <f>HYPERLINK("https://znanium.ru/catalog/product/2191604", "Ознакомиться")</f>
        <v>Ознакомиться</v>
      </c>
      <c r="W2605" s="8" t="s">
        <v>3756</v>
      </c>
      <c r="X2605" s="6"/>
      <c r="Y2605" s="6"/>
      <c r="Z2605" s="6"/>
      <c r="AA2605" s="6" t="s">
        <v>290</v>
      </c>
      <c r="AB2605" s="8"/>
    </row>
    <row r="2606" spans="1:28" s="4" customFormat="1" ht="42" customHeight="1">
      <c r="A2606" s="5">
        <v>0</v>
      </c>
      <c r="B2606" s="6" t="s">
        <v>14766</v>
      </c>
      <c r="C2606" s="7">
        <v>1440</v>
      </c>
      <c r="D2606" s="8" t="s">
        <v>14767</v>
      </c>
      <c r="E2606" s="8" t="s">
        <v>14768</v>
      </c>
      <c r="F2606" s="8" t="s">
        <v>14769</v>
      </c>
      <c r="G2606" s="6" t="s">
        <v>38</v>
      </c>
      <c r="H2606" s="6" t="s">
        <v>39</v>
      </c>
      <c r="I2606" s="8" t="s">
        <v>40</v>
      </c>
      <c r="J2606" s="9">
        <v>1</v>
      </c>
      <c r="K2606" s="9">
        <v>217</v>
      </c>
      <c r="L2606" s="9">
        <v>2026</v>
      </c>
      <c r="M2606" s="8" t="s">
        <v>14770</v>
      </c>
      <c r="N2606" s="8" t="s">
        <v>284</v>
      </c>
      <c r="O2606" s="8" t="s">
        <v>285</v>
      </c>
      <c r="P2606" s="6" t="s">
        <v>44</v>
      </c>
      <c r="Q2606" s="8" t="s">
        <v>45</v>
      </c>
      <c r="R2606" s="10" t="s">
        <v>14771</v>
      </c>
      <c r="S2606" s="11"/>
      <c r="T2606" s="6"/>
      <c r="U2606" s="24" t="str">
        <f>HYPERLINK("https://media.infra-m.ru/2224/2224059/cover/2224059.jpg", "Обложка")</f>
        <v>Обложка</v>
      </c>
      <c r="V2606" s="24" t="str">
        <f>HYPERLINK("https://znanium.ru/catalog/product/2224059", "Ознакомиться")</f>
        <v>Ознакомиться</v>
      </c>
      <c r="W2606" s="8" t="s">
        <v>368</v>
      </c>
      <c r="X2606" s="6"/>
      <c r="Y2606" s="6"/>
      <c r="Z2606" s="6"/>
      <c r="AA2606" s="6" t="s">
        <v>119</v>
      </c>
      <c r="AB2606" s="8"/>
    </row>
    <row r="2607" spans="1:28" s="4" customFormat="1" ht="42" customHeight="1">
      <c r="A2607" s="5">
        <v>0</v>
      </c>
      <c r="B2607" s="6" t="s">
        <v>14772</v>
      </c>
      <c r="C2607" s="13">
        <v>948</v>
      </c>
      <c r="D2607" s="8" t="s">
        <v>14773</v>
      </c>
      <c r="E2607" s="8" t="s">
        <v>14774</v>
      </c>
      <c r="F2607" s="8" t="s">
        <v>14775</v>
      </c>
      <c r="G2607" s="6" t="s">
        <v>38</v>
      </c>
      <c r="H2607" s="6" t="s">
        <v>39</v>
      </c>
      <c r="I2607" s="8" t="s">
        <v>82</v>
      </c>
      <c r="J2607" s="9">
        <v>1</v>
      </c>
      <c r="K2607" s="9">
        <v>151</v>
      </c>
      <c r="L2607" s="9">
        <v>2026</v>
      </c>
      <c r="M2607" s="8" t="s">
        <v>14776</v>
      </c>
      <c r="N2607" s="8" t="s">
        <v>220</v>
      </c>
      <c r="O2607" s="8" t="s">
        <v>252</v>
      </c>
      <c r="P2607" s="6" t="s">
        <v>44</v>
      </c>
      <c r="Q2607" s="8" t="s">
        <v>45</v>
      </c>
      <c r="R2607" s="10" t="s">
        <v>6565</v>
      </c>
      <c r="S2607" s="11"/>
      <c r="T2607" s="6"/>
      <c r="U2607" s="24" t="str">
        <f>HYPERLINK("https://media.infra-m.ru/2212/2212247/cover/2212247.jpg", "Обложка")</f>
        <v>Обложка</v>
      </c>
      <c r="V2607" s="24" t="str">
        <f>HYPERLINK("https://znanium.ru/catalog/product/2212247", "Ознакомиться")</f>
        <v>Ознакомиться</v>
      </c>
      <c r="W2607" s="8" t="s">
        <v>232</v>
      </c>
      <c r="X2607" s="6"/>
      <c r="Y2607" s="6"/>
      <c r="Z2607" s="6"/>
      <c r="AA2607" s="6" t="s">
        <v>76</v>
      </c>
      <c r="AB2607" s="8"/>
    </row>
    <row r="2608" spans="1:28" s="4" customFormat="1" ht="42" customHeight="1">
      <c r="A2608" s="5">
        <v>0</v>
      </c>
      <c r="B2608" s="6" t="s">
        <v>14777</v>
      </c>
      <c r="C2608" s="13">
        <v>587.9</v>
      </c>
      <c r="D2608" s="8" t="s">
        <v>14778</v>
      </c>
      <c r="E2608" s="8" t="s">
        <v>14779</v>
      </c>
      <c r="F2608" s="8" t="s">
        <v>14780</v>
      </c>
      <c r="G2608" s="6" t="s">
        <v>38</v>
      </c>
      <c r="H2608" s="6" t="s">
        <v>1334</v>
      </c>
      <c r="I2608" s="8"/>
      <c r="J2608" s="9">
        <v>1</v>
      </c>
      <c r="K2608" s="9">
        <v>156</v>
      </c>
      <c r="L2608" s="9">
        <v>2017</v>
      </c>
      <c r="M2608" s="8" t="s">
        <v>14781</v>
      </c>
      <c r="N2608" s="8" t="s">
        <v>42</v>
      </c>
      <c r="O2608" s="8" t="s">
        <v>189</v>
      </c>
      <c r="P2608" s="6" t="s">
        <v>44</v>
      </c>
      <c r="Q2608" s="8" t="s">
        <v>45</v>
      </c>
      <c r="R2608" s="10"/>
      <c r="S2608" s="11"/>
      <c r="T2608" s="6"/>
      <c r="U2608" s="24" t="str">
        <f>HYPERLINK("https://media.infra-m.ru/0917/0917156/cover/917156.jpg", "Обложка")</f>
        <v>Обложка</v>
      </c>
      <c r="V2608" s="12"/>
      <c r="W2608" s="8" t="s">
        <v>191</v>
      </c>
      <c r="X2608" s="6"/>
      <c r="Y2608" s="6"/>
      <c r="Z2608" s="6"/>
      <c r="AA2608" s="6" t="s">
        <v>369</v>
      </c>
      <c r="AB2608" s="8"/>
    </row>
    <row r="2609" spans="1:28" s="4" customFormat="1" ht="51.95" customHeight="1">
      <c r="A2609" s="5">
        <v>0</v>
      </c>
      <c r="B2609" s="6" t="s">
        <v>14782</v>
      </c>
      <c r="C2609" s="7">
        <v>3276</v>
      </c>
      <c r="D2609" s="8" t="s">
        <v>14783</v>
      </c>
      <c r="E2609" s="8" t="s">
        <v>14784</v>
      </c>
      <c r="F2609" s="8" t="s">
        <v>709</v>
      </c>
      <c r="G2609" s="6" t="s">
        <v>132</v>
      </c>
      <c r="H2609" s="6" t="s">
        <v>39</v>
      </c>
      <c r="I2609" s="8" t="s">
        <v>40</v>
      </c>
      <c r="J2609" s="9">
        <v>1</v>
      </c>
      <c r="K2609" s="9">
        <v>496</v>
      </c>
      <c r="L2609" s="9">
        <v>2026</v>
      </c>
      <c r="M2609" s="8" t="s">
        <v>14785</v>
      </c>
      <c r="N2609" s="8" t="s">
        <v>42</v>
      </c>
      <c r="O2609" s="8" t="s">
        <v>101</v>
      </c>
      <c r="P2609" s="6" t="s">
        <v>44</v>
      </c>
      <c r="Q2609" s="8" t="s">
        <v>45</v>
      </c>
      <c r="R2609" s="10" t="s">
        <v>14786</v>
      </c>
      <c r="S2609" s="11"/>
      <c r="T2609" s="6"/>
      <c r="U2609" s="24" t="str">
        <f>HYPERLINK("https://media.infra-m.ru/2188/2188100/cover/2188100.jpg", "Обложка")</f>
        <v>Обложка</v>
      </c>
      <c r="V2609" s="24" t="str">
        <f>HYPERLINK("https://znanium.ru/catalog/product/2188100", "Ознакомиться")</f>
        <v>Ознакомиться</v>
      </c>
      <c r="W2609" s="8" t="s">
        <v>565</v>
      </c>
      <c r="X2609" s="6" t="s">
        <v>838</v>
      </c>
      <c r="Y2609" s="6"/>
      <c r="Z2609" s="6"/>
      <c r="AA2609" s="6" t="s">
        <v>833</v>
      </c>
      <c r="AB2609" s="8"/>
    </row>
    <row r="2610" spans="1:28" s="4" customFormat="1" ht="42" customHeight="1">
      <c r="A2610" s="5">
        <v>0</v>
      </c>
      <c r="B2610" s="6" t="s">
        <v>14787</v>
      </c>
      <c r="C2610" s="7">
        <v>2872.8</v>
      </c>
      <c r="D2610" s="8" t="s">
        <v>14788</v>
      </c>
      <c r="E2610" s="8" t="s">
        <v>14789</v>
      </c>
      <c r="F2610" s="8" t="s">
        <v>14790</v>
      </c>
      <c r="G2610" s="6" t="s">
        <v>132</v>
      </c>
      <c r="H2610" s="6" t="s">
        <v>182</v>
      </c>
      <c r="I2610" s="8" t="s">
        <v>3259</v>
      </c>
      <c r="J2610" s="9">
        <v>1</v>
      </c>
      <c r="K2610" s="9">
        <v>533</v>
      </c>
      <c r="L2610" s="9">
        <v>2023</v>
      </c>
      <c r="M2610" s="8" t="s">
        <v>14791</v>
      </c>
      <c r="N2610" s="8" t="s">
        <v>42</v>
      </c>
      <c r="O2610" s="8" t="s">
        <v>65</v>
      </c>
      <c r="P2610" s="6" t="s">
        <v>44</v>
      </c>
      <c r="Q2610" s="8" t="s">
        <v>45</v>
      </c>
      <c r="R2610" s="10" t="s">
        <v>2137</v>
      </c>
      <c r="S2610" s="11"/>
      <c r="T2610" s="6"/>
      <c r="U2610" s="24" t="str">
        <f>HYPERLINK("https://media.infra-m.ru/2006/2006901/cover/2006901.jpg", "Обложка")</f>
        <v>Обложка</v>
      </c>
      <c r="V2610" s="24" t="str">
        <f>HYPERLINK("https://znanium.ru/catalog/product/982083", "Ознакомиться")</f>
        <v>Ознакомиться</v>
      </c>
      <c r="W2610" s="8" t="s">
        <v>601</v>
      </c>
      <c r="X2610" s="6"/>
      <c r="Y2610" s="6"/>
      <c r="Z2610" s="6"/>
      <c r="AA2610" s="6" t="s">
        <v>68</v>
      </c>
      <c r="AB2610" s="8"/>
    </row>
    <row r="2611" spans="1:28" s="4" customFormat="1" ht="51.95" customHeight="1">
      <c r="A2611" s="5">
        <v>0</v>
      </c>
      <c r="B2611" s="6" t="s">
        <v>14792</v>
      </c>
      <c r="C2611" s="7">
        <v>1776</v>
      </c>
      <c r="D2611" s="8" t="s">
        <v>14793</v>
      </c>
      <c r="E2611" s="8" t="s">
        <v>14794</v>
      </c>
      <c r="F2611" s="8" t="s">
        <v>14795</v>
      </c>
      <c r="G2611" s="6" t="s">
        <v>38</v>
      </c>
      <c r="H2611" s="6" t="s">
        <v>39</v>
      </c>
      <c r="I2611" s="8" t="s">
        <v>40</v>
      </c>
      <c r="J2611" s="9">
        <v>1</v>
      </c>
      <c r="K2611" s="9">
        <v>324</v>
      </c>
      <c r="L2611" s="9">
        <v>2023</v>
      </c>
      <c r="M2611" s="8" t="s">
        <v>14796</v>
      </c>
      <c r="N2611" s="8" t="s">
        <v>42</v>
      </c>
      <c r="O2611" s="8" t="s">
        <v>101</v>
      </c>
      <c r="P2611" s="6" t="s">
        <v>44</v>
      </c>
      <c r="Q2611" s="8" t="s">
        <v>45</v>
      </c>
      <c r="R2611" s="10" t="s">
        <v>680</v>
      </c>
      <c r="S2611" s="11"/>
      <c r="T2611" s="6"/>
      <c r="U2611" s="24" t="str">
        <f>HYPERLINK("https://media.infra-m.ru/1895/1895632/cover/1895632.jpg", "Обложка")</f>
        <v>Обложка</v>
      </c>
      <c r="V2611" s="24" t="str">
        <f>HYPERLINK("https://znanium.ru/catalog/product/1895632", "Ознакомиться")</f>
        <v>Ознакомиться</v>
      </c>
      <c r="W2611" s="8" t="s">
        <v>601</v>
      </c>
      <c r="X2611" s="6"/>
      <c r="Y2611" s="6"/>
      <c r="Z2611" s="6"/>
      <c r="AA2611" s="6" t="s">
        <v>68</v>
      </c>
      <c r="AB2611" s="8"/>
    </row>
    <row r="2612" spans="1:28" s="4" customFormat="1" ht="42" customHeight="1">
      <c r="A2612" s="5">
        <v>0</v>
      </c>
      <c r="B2612" s="6" t="s">
        <v>14797</v>
      </c>
      <c r="C2612" s="13">
        <v>864</v>
      </c>
      <c r="D2612" s="8" t="s">
        <v>14798</v>
      </c>
      <c r="E2612" s="8" t="s">
        <v>14799</v>
      </c>
      <c r="F2612" s="8" t="s">
        <v>14800</v>
      </c>
      <c r="G2612" s="6" t="s">
        <v>38</v>
      </c>
      <c r="H2612" s="6" t="s">
        <v>39</v>
      </c>
      <c r="I2612" s="8" t="s">
        <v>40</v>
      </c>
      <c r="J2612" s="9">
        <v>1</v>
      </c>
      <c r="K2612" s="9">
        <v>185</v>
      </c>
      <c r="L2612" s="9">
        <v>2022</v>
      </c>
      <c r="M2612" s="8" t="s">
        <v>14801</v>
      </c>
      <c r="N2612" s="8" t="s">
        <v>42</v>
      </c>
      <c r="O2612" s="8" t="s">
        <v>189</v>
      </c>
      <c r="P2612" s="6" t="s">
        <v>44</v>
      </c>
      <c r="Q2612" s="8" t="s">
        <v>45</v>
      </c>
      <c r="R2612" s="10" t="s">
        <v>1028</v>
      </c>
      <c r="S2612" s="11"/>
      <c r="T2612" s="6"/>
      <c r="U2612" s="24" t="str">
        <f>HYPERLINK("https://media.infra-m.ru/1863/1863415/cover/1863415.jpg", "Обложка")</f>
        <v>Обложка</v>
      </c>
      <c r="V2612" s="24" t="str">
        <f>HYPERLINK("https://znanium.ru/catalog/product/1863415", "Ознакомиться")</f>
        <v>Ознакомиться</v>
      </c>
      <c r="W2612" s="8" t="s">
        <v>693</v>
      </c>
      <c r="X2612" s="6"/>
      <c r="Y2612" s="6"/>
      <c r="Z2612" s="6"/>
      <c r="AA2612" s="6" t="s">
        <v>68</v>
      </c>
      <c r="AB2612" s="8"/>
    </row>
    <row r="2613" spans="1:28" s="4" customFormat="1" ht="51.95" customHeight="1">
      <c r="A2613" s="5">
        <v>0</v>
      </c>
      <c r="B2613" s="6" t="s">
        <v>14802</v>
      </c>
      <c r="C2613" s="13">
        <v>804</v>
      </c>
      <c r="D2613" s="8" t="s">
        <v>14803</v>
      </c>
      <c r="E2613" s="8" t="s">
        <v>14804</v>
      </c>
      <c r="F2613" s="8" t="s">
        <v>697</v>
      </c>
      <c r="G2613" s="6" t="s">
        <v>38</v>
      </c>
      <c r="H2613" s="6" t="s">
        <v>39</v>
      </c>
      <c r="I2613" s="8" t="s">
        <v>40</v>
      </c>
      <c r="J2613" s="9">
        <v>1</v>
      </c>
      <c r="K2613" s="9">
        <v>142</v>
      </c>
      <c r="L2613" s="9">
        <v>2024</v>
      </c>
      <c r="M2613" s="8" t="s">
        <v>14805</v>
      </c>
      <c r="N2613" s="8" t="s">
        <v>54</v>
      </c>
      <c r="O2613" s="8" t="s">
        <v>91</v>
      </c>
      <c r="P2613" s="6" t="s">
        <v>44</v>
      </c>
      <c r="Q2613" s="8" t="s">
        <v>45</v>
      </c>
      <c r="R2613" s="10" t="s">
        <v>14806</v>
      </c>
      <c r="S2613" s="11"/>
      <c r="T2613" s="6"/>
      <c r="U2613" s="24" t="str">
        <f>HYPERLINK("https://media.infra-m.ru/2136/2136034/cover/2136034.jpg", "Обложка")</f>
        <v>Обложка</v>
      </c>
      <c r="V2613" s="24" t="str">
        <f>HYPERLINK("https://znanium.ru/catalog/product/2136034", "Ознакомиться")</f>
        <v>Ознакомиться</v>
      </c>
      <c r="W2613" s="8" t="s">
        <v>699</v>
      </c>
      <c r="X2613" s="6"/>
      <c r="Y2613" s="6"/>
      <c r="Z2613" s="6"/>
      <c r="AA2613" s="6" t="s">
        <v>76</v>
      </c>
      <c r="AB2613" s="8"/>
    </row>
    <row r="2614" spans="1:28" s="4" customFormat="1" ht="51.95" customHeight="1">
      <c r="A2614" s="5">
        <v>0</v>
      </c>
      <c r="B2614" s="6" t="s">
        <v>14807</v>
      </c>
      <c r="C2614" s="7">
        <v>3016.8</v>
      </c>
      <c r="D2614" s="8" t="s">
        <v>14808</v>
      </c>
      <c r="E2614" s="8" t="s">
        <v>14809</v>
      </c>
      <c r="F2614" s="8" t="s">
        <v>709</v>
      </c>
      <c r="G2614" s="6" t="s">
        <v>132</v>
      </c>
      <c r="H2614" s="6" t="s">
        <v>39</v>
      </c>
      <c r="I2614" s="8" t="s">
        <v>40</v>
      </c>
      <c r="J2614" s="9">
        <v>1</v>
      </c>
      <c r="K2614" s="9">
        <v>484</v>
      </c>
      <c r="L2614" s="9">
        <v>2024</v>
      </c>
      <c r="M2614" s="8" t="s">
        <v>14810</v>
      </c>
      <c r="N2614" s="8" t="s">
        <v>42</v>
      </c>
      <c r="O2614" s="8" t="s">
        <v>101</v>
      </c>
      <c r="P2614" s="6" t="s">
        <v>44</v>
      </c>
      <c r="Q2614" s="8" t="s">
        <v>45</v>
      </c>
      <c r="R2614" s="10" t="s">
        <v>14811</v>
      </c>
      <c r="S2614" s="11"/>
      <c r="T2614" s="6"/>
      <c r="U2614" s="24" t="str">
        <f>HYPERLINK("https://media.infra-m.ru/2215/2215832/cover/2215832.jpg", "Обложка")</f>
        <v>Обложка</v>
      </c>
      <c r="V2614" s="24" t="str">
        <f>HYPERLINK("https://znanium.ru/catalog/product/2135819", "Ознакомиться")</f>
        <v>Ознакомиться</v>
      </c>
      <c r="W2614" s="8" t="s">
        <v>565</v>
      </c>
      <c r="X2614" s="6"/>
      <c r="Y2614" s="6"/>
      <c r="Z2614" s="6"/>
      <c r="AA2614" s="6" t="s">
        <v>58</v>
      </c>
      <c r="AB2614" s="8"/>
    </row>
    <row r="2615" spans="1:28" s="4" customFormat="1" ht="51.95" customHeight="1">
      <c r="A2615" s="5">
        <v>0</v>
      </c>
      <c r="B2615" s="6" t="s">
        <v>14812</v>
      </c>
      <c r="C2615" s="7">
        <v>3588</v>
      </c>
      <c r="D2615" s="8" t="s">
        <v>14813</v>
      </c>
      <c r="E2615" s="8" t="s">
        <v>14814</v>
      </c>
      <c r="F2615" s="8" t="s">
        <v>14815</v>
      </c>
      <c r="G2615" s="6" t="s">
        <v>132</v>
      </c>
      <c r="H2615" s="6" t="s">
        <v>99</v>
      </c>
      <c r="I2615" s="8"/>
      <c r="J2615" s="9">
        <v>1</v>
      </c>
      <c r="K2615" s="9">
        <v>576</v>
      </c>
      <c r="L2615" s="9">
        <v>2025</v>
      </c>
      <c r="M2615" s="8" t="s">
        <v>14816</v>
      </c>
      <c r="N2615" s="8" t="s">
        <v>42</v>
      </c>
      <c r="O2615" s="8" t="s">
        <v>101</v>
      </c>
      <c r="P2615" s="6" t="s">
        <v>44</v>
      </c>
      <c r="Q2615" s="8" t="s">
        <v>45</v>
      </c>
      <c r="R2615" s="10" t="s">
        <v>390</v>
      </c>
      <c r="S2615" s="11"/>
      <c r="T2615" s="6"/>
      <c r="U2615" s="24" t="str">
        <f>HYPERLINK("https://media.infra-m.ru/2162/2162943/cover/2162943.jpg", "Обложка")</f>
        <v>Обложка</v>
      </c>
      <c r="V2615" s="24" t="str">
        <f>HYPERLINK("https://znanium.ru/catalog/product/2162943", "Ознакомиться")</f>
        <v>Ознакомиться</v>
      </c>
      <c r="W2615" s="8" t="s">
        <v>9187</v>
      </c>
      <c r="X2615" s="6"/>
      <c r="Y2615" s="6"/>
      <c r="Z2615" s="6"/>
      <c r="AA2615" s="6" t="s">
        <v>119</v>
      </c>
      <c r="AB2615" s="8"/>
    </row>
    <row r="2616" spans="1:28" s="4" customFormat="1" ht="51.95" customHeight="1">
      <c r="A2616" s="5">
        <v>0</v>
      </c>
      <c r="B2616" s="6" t="s">
        <v>14817</v>
      </c>
      <c r="C2616" s="7">
        <v>2796</v>
      </c>
      <c r="D2616" s="8" t="s">
        <v>14818</v>
      </c>
      <c r="E2616" s="8" t="s">
        <v>14819</v>
      </c>
      <c r="F2616" s="8" t="s">
        <v>14820</v>
      </c>
      <c r="G2616" s="6" t="s">
        <v>132</v>
      </c>
      <c r="H2616" s="6" t="s">
        <v>39</v>
      </c>
      <c r="I2616" s="8" t="s">
        <v>40</v>
      </c>
      <c r="J2616" s="9">
        <v>1</v>
      </c>
      <c r="K2616" s="9">
        <v>451</v>
      </c>
      <c r="L2616" s="9">
        <v>2025</v>
      </c>
      <c r="M2616" s="8" t="s">
        <v>14821</v>
      </c>
      <c r="N2616" s="8" t="s">
        <v>42</v>
      </c>
      <c r="O2616" s="8" t="s">
        <v>101</v>
      </c>
      <c r="P2616" s="6" t="s">
        <v>44</v>
      </c>
      <c r="Q2616" s="8" t="s">
        <v>45</v>
      </c>
      <c r="R2616" s="10" t="s">
        <v>2280</v>
      </c>
      <c r="S2616" s="11"/>
      <c r="T2616" s="6"/>
      <c r="U2616" s="24" t="str">
        <f>HYPERLINK("https://media.infra-m.ru/2180/2180634/cover/2180634.jpg", "Обложка")</f>
        <v>Обложка</v>
      </c>
      <c r="V2616" s="24" t="str">
        <f>HYPERLINK("https://znanium.ru/catalog/product/2180634", "Ознакомиться")</f>
        <v>Ознакомиться</v>
      </c>
      <c r="W2616" s="8" t="s">
        <v>3004</v>
      </c>
      <c r="X2616" s="6" t="s">
        <v>320</v>
      </c>
      <c r="Y2616" s="6"/>
      <c r="Z2616" s="6"/>
      <c r="AA2616" s="6" t="s">
        <v>159</v>
      </c>
      <c r="AB2616" s="8"/>
    </row>
    <row r="2617" spans="1:28" s="4" customFormat="1" ht="51.95" customHeight="1">
      <c r="A2617" s="5">
        <v>0</v>
      </c>
      <c r="B2617" s="6" t="s">
        <v>14822</v>
      </c>
      <c r="C2617" s="13">
        <v>820.8</v>
      </c>
      <c r="D2617" s="8" t="s">
        <v>14823</v>
      </c>
      <c r="E2617" s="8" t="s">
        <v>14824</v>
      </c>
      <c r="F2617" s="8" t="s">
        <v>14825</v>
      </c>
      <c r="G2617" s="6" t="s">
        <v>38</v>
      </c>
      <c r="H2617" s="6" t="s">
        <v>39</v>
      </c>
      <c r="I2617" s="8" t="s">
        <v>40</v>
      </c>
      <c r="J2617" s="9">
        <v>1</v>
      </c>
      <c r="K2617" s="9">
        <v>137</v>
      </c>
      <c r="L2617" s="9">
        <v>2025</v>
      </c>
      <c r="M2617" s="8" t="s">
        <v>14826</v>
      </c>
      <c r="N2617" s="8" t="s">
        <v>229</v>
      </c>
      <c r="O2617" s="8" t="s">
        <v>230</v>
      </c>
      <c r="P2617" s="6" t="s">
        <v>44</v>
      </c>
      <c r="Q2617" s="8" t="s">
        <v>45</v>
      </c>
      <c r="R2617" s="10" t="s">
        <v>14827</v>
      </c>
      <c r="S2617" s="11"/>
      <c r="T2617" s="6"/>
      <c r="U2617" s="24" t="str">
        <f>HYPERLINK("https://media.infra-m.ru/2178/2178250/cover/2178250.jpg", "Обложка")</f>
        <v>Обложка</v>
      </c>
      <c r="V2617" s="24" t="str">
        <f>HYPERLINK("https://znanium.ru/catalog/product/1064499", "Ознакомиться")</f>
        <v>Ознакомиться</v>
      </c>
      <c r="W2617" s="8" t="s">
        <v>6799</v>
      </c>
      <c r="X2617" s="6"/>
      <c r="Y2617" s="6"/>
      <c r="Z2617" s="6"/>
      <c r="AA2617" s="6" t="s">
        <v>76</v>
      </c>
      <c r="AB2617" s="8"/>
    </row>
    <row r="2618" spans="1:28" s="4" customFormat="1" ht="42" customHeight="1">
      <c r="A2618" s="5">
        <v>0</v>
      </c>
      <c r="B2618" s="6" t="s">
        <v>14828</v>
      </c>
      <c r="C2618" s="7">
        <v>2034</v>
      </c>
      <c r="D2618" s="8" t="s">
        <v>14829</v>
      </c>
      <c r="E2618" s="8" t="s">
        <v>14830</v>
      </c>
      <c r="F2618" s="8" t="s">
        <v>14831</v>
      </c>
      <c r="G2618" s="6" t="s">
        <v>81</v>
      </c>
      <c r="H2618" s="6" t="s">
        <v>99</v>
      </c>
      <c r="I2618" s="8"/>
      <c r="J2618" s="9">
        <v>1</v>
      </c>
      <c r="K2618" s="9">
        <v>280</v>
      </c>
      <c r="L2618" s="9">
        <v>2025</v>
      </c>
      <c r="M2618" s="8" t="s">
        <v>14832</v>
      </c>
      <c r="N2618" s="8" t="s">
        <v>42</v>
      </c>
      <c r="O2618" s="8" t="s">
        <v>101</v>
      </c>
      <c r="P2618" s="6" t="s">
        <v>44</v>
      </c>
      <c r="Q2618" s="8" t="s">
        <v>45</v>
      </c>
      <c r="R2618" s="10" t="s">
        <v>269</v>
      </c>
      <c r="S2618" s="11"/>
      <c r="T2618" s="6"/>
      <c r="U2618" s="24" t="str">
        <f>HYPERLINK("https://media.infra-m.ru/2204/2204437/cover/2204437.jpg", "Обложка")</f>
        <v>Обложка</v>
      </c>
      <c r="V2618" s="24" t="str">
        <f>HYPERLINK("https://znanium.ru/catalog/product/2204437", "Ознакомиться")</f>
        <v>Ознакомиться</v>
      </c>
      <c r="W2618" s="8" t="s">
        <v>4178</v>
      </c>
      <c r="X2618" s="6"/>
      <c r="Y2618" s="6"/>
      <c r="Z2618" s="6"/>
      <c r="AA2618" s="6" t="s">
        <v>119</v>
      </c>
      <c r="AB2618" s="8"/>
    </row>
    <row r="2619" spans="1:28" s="4" customFormat="1" ht="51.95" customHeight="1">
      <c r="A2619" s="5">
        <v>0</v>
      </c>
      <c r="B2619" s="6" t="s">
        <v>14833</v>
      </c>
      <c r="C2619" s="13">
        <v>839.9</v>
      </c>
      <c r="D2619" s="8" t="s">
        <v>14834</v>
      </c>
      <c r="E2619" s="8" t="s">
        <v>14835</v>
      </c>
      <c r="F2619" s="8" t="s">
        <v>14836</v>
      </c>
      <c r="G2619" s="6" t="s">
        <v>38</v>
      </c>
      <c r="H2619" s="6" t="s">
        <v>182</v>
      </c>
      <c r="I2619" s="8"/>
      <c r="J2619" s="9">
        <v>30</v>
      </c>
      <c r="K2619" s="9">
        <v>225</v>
      </c>
      <c r="L2619" s="9">
        <v>2017</v>
      </c>
      <c r="M2619" s="8" t="s">
        <v>14837</v>
      </c>
      <c r="N2619" s="8" t="s">
        <v>42</v>
      </c>
      <c r="O2619" s="8" t="s">
        <v>189</v>
      </c>
      <c r="P2619" s="6" t="s">
        <v>44</v>
      </c>
      <c r="Q2619" s="8" t="s">
        <v>45</v>
      </c>
      <c r="R2619" s="10" t="s">
        <v>14838</v>
      </c>
      <c r="S2619" s="11"/>
      <c r="T2619" s="6"/>
      <c r="U2619" s="24" t="str">
        <f>HYPERLINK("https://media.infra-m.ru/0671/0671363/cover/671363.jpg", "Обложка")</f>
        <v>Обложка</v>
      </c>
      <c r="V2619" s="24" t="str">
        <f>HYPERLINK("https://znanium.ru/catalog/product/671363", "Ознакомиться")</f>
        <v>Ознакомиться</v>
      </c>
      <c r="W2619" s="8" t="s">
        <v>167</v>
      </c>
      <c r="X2619" s="6"/>
      <c r="Y2619" s="6"/>
      <c r="Z2619" s="6"/>
      <c r="AA2619" s="6" t="s">
        <v>369</v>
      </c>
      <c r="AB2619" s="8"/>
    </row>
    <row r="2620" spans="1:28" s="4" customFormat="1" ht="51.95" customHeight="1">
      <c r="A2620" s="5">
        <v>0</v>
      </c>
      <c r="B2620" s="6" t="s">
        <v>14839</v>
      </c>
      <c r="C2620" s="7">
        <v>1776</v>
      </c>
      <c r="D2620" s="8" t="s">
        <v>14840</v>
      </c>
      <c r="E2620" s="8" t="s">
        <v>14841</v>
      </c>
      <c r="F2620" s="8" t="s">
        <v>14842</v>
      </c>
      <c r="G2620" s="6" t="s">
        <v>132</v>
      </c>
      <c r="H2620" s="6" t="s">
        <v>182</v>
      </c>
      <c r="I2620" s="8" t="s">
        <v>40</v>
      </c>
      <c r="J2620" s="9">
        <v>1</v>
      </c>
      <c r="K2620" s="9">
        <v>281</v>
      </c>
      <c r="L2620" s="9">
        <v>2025</v>
      </c>
      <c r="M2620" s="8" t="s">
        <v>14843</v>
      </c>
      <c r="N2620" s="8" t="s">
        <v>42</v>
      </c>
      <c r="O2620" s="8" t="s">
        <v>101</v>
      </c>
      <c r="P2620" s="6" t="s">
        <v>44</v>
      </c>
      <c r="Q2620" s="8" t="s">
        <v>607</v>
      </c>
      <c r="R2620" s="10" t="s">
        <v>14844</v>
      </c>
      <c r="S2620" s="11"/>
      <c r="T2620" s="6"/>
      <c r="U2620" s="24" t="str">
        <f>HYPERLINK("https://media.infra-m.ru/2186/2186182/cover/2186182.jpg", "Обложка")</f>
        <v>Обложка</v>
      </c>
      <c r="V2620" s="24" t="str">
        <f>HYPERLINK("https://znanium.ru/catalog/product/2186182", "Ознакомиться")</f>
        <v>Ознакомиться</v>
      </c>
      <c r="W2620" s="8" t="s">
        <v>1594</v>
      </c>
      <c r="X2620" s="6" t="s">
        <v>517</v>
      </c>
      <c r="Y2620" s="6"/>
      <c r="Z2620" s="6"/>
      <c r="AA2620" s="6" t="s">
        <v>159</v>
      </c>
      <c r="AB2620" s="8"/>
    </row>
    <row r="2621" spans="1:28" s="4" customFormat="1" ht="42" customHeight="1">
      <c r="A2621" s="5">
        <v>0</v>
      </c>
      <c r="B2621" s="6" t="s">
        <v>14845</v>
      </c>
      <c r="C2621" s="7">
        <v>1824</v>
      </c>
      <c r="D2621" s="8" t="s">
        <v>14846</v>
      </c>
      <c r="E2621" s="8" t="s">
        <v>14847</v>
      </c>
      <c r="F2621" s="8" t="s">
        <v>1255</v>
      </c>
      <c r="G2621" s="6" t="s">
        <v>81</v>
      </c>
      <c r="H2621" s="6" t="s">
        <v>39</v>
      </c>
      <c r="I2621" s="8" t="s">
        <v>40</v>
      </c>
      <c r="J2621" s="9">
        <v>1</v>
      </c>
      <c r="K2621" s="9">
        <v>291</v>
      </c>
      <c r="L2621" s="9">
        <v>2026</v>
      </c>
      <c r="M2621" s="8" t="s">
        <v>14848</v>
      </c>
      <c r="N2621" s="8" t="s">
        <v>284</v>
      </c>
      <c r="O2621" s="8" t="s">
        <v>482</v>
      </c>
      <c r="P2621" s="6" t="s">
        <v>44</v>
      </c>
      <c r="Q2621" s="8" t="s">
        <v>45</v>
      </c>
      <c r="R2621" s="10" t="s">
        <v>7002</v>
      </c>
      <c r="S2621" s="11"/>
      <c r="T2621" s="6"/>
      <c r="U2621" s="24" t="str">
        <f>HYPERLINK("https://media.infra-m.ru/2208/2208991/cover/2208991.jpg", "Обложка")</f>
        <v>Обложка</v>
      </c>
      <c r="V2621" s="24" t="str">
        <f>HYPERLINK("https://znanium.ru/catalog/product/2208991", "Ознакомиться")</f>
        <v>Ознакомиться</v>
      </c>
      <c r="W2621" s="8" t="s">
        <v>1258</v>
      </c>
      <c r="X2621" s="6"/>
      <c r="Y2621" s="6"/>
      <c r="Z2621" s="6"/>
      <c r="AA2621" s="6" t="s">
        <v>339</v>
      </c>
      <c r="AB2621" s="8"/>
    </row>
    <row r="2622" spans="1:28" s="4" customFormat="1" ht="42" customHeight="1">
      <c r="A2622" s="5">
        <v>0</v>
      </c>
      <c r="B2622" s="6" t="s">
        <v>14849</v>
      </c>
      <c r="C2622" s="13">
        <v>996</v>
      </c>
      <c r="D2622" s="8" t="s">
        <v>14850</v>
      </c>
      <c r="E2622" s="8" t="s">
        <v>14851</v>
      </c>
      <c r="F2622" s="8" t="s">
        <v>195</v>
      </c>
      <c r="G2622" s="6" t="s">
        <v>38</v>
      </c>
      <c r="H2622" s="6" t="s">
        <v>39</v>
      </c>
      <c r="I2622" s="8" t="s">
        <v>40</v>
      </c>
      <c r="J2622" s="9">
        <v>1</v>
      </c>
      <c r="K2622" s="9">
        <v>218</v>
      </c>
      <c r="L2622" s="9">
        <v>2021</v>
      </c>
      <c r="M2622" s="8" t="s">
        <v>14852</v>
      </c>
      <c r="N2622" s="8" t="s">
        <v>54</v>
      </c>
      <c r="O2622" s="8" t="s">
        <v>55</v>
      </c>
      <c r="P2622" s="6" t="s">
        <v>44</v>
      </c>
      <c r="Q2622" s="8" t="s">
        <v>45</v>
      </c>
      <c r="R2622" s="10" t="s">
        <v>5355</v>
      </c>
      <c r="S2622" s="11"/>
      <c r="T2622" s="6"/>
      <c r="U2622" s="24" t="str">
        <f>HYPERLINK("https://media.infra-m.ru/1064/1064939/cover/1064939.jpg", "Обложка")</f>
        <v>Обложка</v>
      </c>
      <c r="V2622" s="24" t="str">
        <f>HYPERLINK("https://znanium.ru/catalog/product/1064939", "Ознакомиться")</f>
        <v>Ознакомиться</v>
      </c>
      <c r="W2622" s="8" t="s">
        <v>198</v>
      </c>
      <c r="X2622" s="6"/>
      <c r="Y2622" s="6"/>
      <c r="Z2622" s="6"/>
      <c r="AA2622" s="6" t="s">
        <v>199</v>
      </c>
      <c r="AB2622" s="8"/>
    </row>
    <row r="2623" spans="1:28" s="4" customFormat="1" ht="44.1" customHeight="1">
      <c r="A2623" s="5">
        <v>0</v>
      </c>
      <c r="B2623" s="6" t="s">
        <v>14853</v>
      </c>
      <c r="C2623" s="7">
        <v>1320</v>
      </c>
      <c r="D2623" s="8" t="s">
        <v>14854</v>
      </c>
      <c r="E2623" s="8" t="s">
        <v>14855</v>
      </c>
      <c r="F2623" s="8" t="s">
        <v>4526</v>
      </c>
      <c r="G2623" s="6" t="s">
        <v>38</v>
      </c>
      <c r="H2623" s="6" t="s">
        <v>39</v>
      </c>
      <c r="I2623" s="8" t="s">
        <v>40</v>
      </c>
      <c r="J2623" s="9">
        <v>1</v>
      </c>
      <c r="K2623" s="9">
        <v>190</v>
      </c>
      <c r="L2623" s="9">
        <v>2022</v>
      </c>
      <c r="M2623" s="8" t="s">
        <v>14856</v>
      </c>
      <c r="N2623" s="8" t="s">
        <v>220</v>
      </c>
      <c r="O2623" s="8" t="s">
        <v>296</v>
      </c>
      <c r="P2623" s="6" t="s">
        <v>44</v>
      </c>
      <c r="Q2623" s="8" t="s">
        <v>45</v>
      </c>
      <c r="R2623" s="10" t="s">
        <v>14857</v>
      </c>
      <c r="S2623" s="11"/>
      <c r="T2623" s="6"/>
      <c r="U2623" s="24" t="str">
        <f>HYPERLINK("https://media.infra-m.ru/1851/1851554/cover/1851554.jpg", "Обложка")</f>
        <v>Обложка</v>
      </c>
      <c r="V2623" s="24" t="str">
        <f>HYPERLINK("https://znanium.ru/catalog/product/1851554", "Ознакомиться")</f>
        <v>Ознакомиться</v>
      </c>
      <c r="W2623" s="8" t="s">
        <v>289</v>
      </c>
      <c r="X2623" s="6"/>
      <c r="Y2623" s="6"/>
      <c r="Z2623" s="6"/>
      <c r="AA2623" s="6" t="s">
        <v>111</v>
      </c>
      <c r="AB2623" s="8" t="s">
        <v>11935</v>
      </c>
    </row>
    <row r="2624" spans="1:28" s="4" customFormat="1" ht="42" customHeight="1">
      <c r="A2624" s="5">
        <v>0</v>
      </c>
      <c r="B2624" s="6" t="s">
        <v>14858</v>
      </c>
      <c r="C2624" s="7">
        <v>1752</v>
      </c>
      <c r="D2624" s="8" t="s">
        <v>14859</v>
      </c>
      <c r="E2624" s="8" t="s">
        <v>14860</v>
      </c>
      <c r="F2624" s="8" t="s">
        <v>14861</v>
      </c>
      <c r="G2624" s="6" t="s">
        <v>81</v>
      </c>
      <c r="H2624" s="6" t="s">
        <v>39</v>
      </c>
      <c r="I2624" s="8" t="s">
        <v>40</v>
      </c>
      <c r="J2624" s="9">
        <v>1</v>
      </c>
      <c r="K2624" s="9">
        <v>317</v>
      </c>
      <c r="L2624" s="9">
        <v>2023</v>
      </c>
      <c r="M2624" s="8" t="s">
        <v>14862</v>
      </c>
      <c r="N2624" s="8" t="s">
        <v>220</v>
      </c>
      <c r="O2624" s="8" t="s">
        <v>296</v>
      </c>
      <c r="P2624" s="6" t="s">
        <v>44</v>
      </c>
      <c r="Q2624" s="8" t="s">
        <v>45</v>
      </c>
      <c r="R2624" s="10" t="s">
        <v>14863</v>
      </c>
      <c r="S2624" s="11"/>
      <c r="T2624" s="6"/>
      <c r="U2624" s="24" t="str">
        <f>HYPERLINK("https://media.infra-m.ru/2020/2020566/cover/2020566.jpg", "Обложка")</f>
        <v>Обложка</v>
      </c>
      <c r="V2624" s="24" t="str">
        <f>HYPERLINK("https://znanium.ru/catalog/product/2020566", "Ознакомиться")</f>
        <v>Ознакомиться</v>
      </c>
      <c r="W2624" s="8" t="s">
        <v>10710</v>
      </c>
      <c r="X2624" s="6"/>
      <c r="Y2624" s="6"/>
      <c r="Z2624" s="6"/>
      <c r="AA2624" s="6" t="s">
        <v>339</v>
      </c>
      <c r="AB2624" s="8"/>
    </row>
    <row r="2625" spans="1:28" s="4" customFormat="1" ht="42" customHeight="1">
      <c r="A2625" s="5">
        <v>0</v>
      </c>
      <c r="B2625" s="6" t="s">
        <v>14864</v>
      </c>
      <c r="C2625" s="7">
        <v>1852.8</v>
      </c>
      <c r="D2625" s="8" t="s">
        <v>14865</v>
      </c>
      <c r="E2625" s="8" t="s">
        <v>14866</v>
      </c>
      <c r="F2625" s="8" t="s">
        <v>14867</v>
      </c>
      <c r="G2625" s="6" t="s">
        <v>81</v>
      </c>
      <c r="H2625" s="6" t="s">
        <v>99</v>
      </c>
      <c r="I2625" s="8"/>
      <c r="J2625" s="9">
        <v>1</v>
      </c>
      <c r="K2625" s="9">
        <v>280</v>
      </c>
      <c r="L2625" s="9">
        <v>2026</v>
      </c>
      <c r="M2625" s="8" t="s">
        <v>14868</v>
      </c>
      <c r="N2625" s="8" t="s">
        <v>42</v>
      </c>
      <c r="O2625" s="8" t="s">
        <v>101</v>
      </c>
      <c r="P2625" s="6" t="s">
        <v>44</v>
      </c>
      <c r="Q2625" s="8" t="s">
        <v>45</v>
      </c>
      <c r="R2625" s="10" t="s">
        <v>874</v>
      </c>
      <c r="S2625" s="11"/>
      <c r="T2625" s="6"/>
      <c r="U2625" s="24" t="str">
        <f>HYPERLINK("https://media.infra-m.ru/2220/2220516/cover/2220516.jpg", "Обложка")</f>
        <v>Обложка</v>
      </c>
      <c r="V2625" s="24" t="str">
        <f>HYPERLINK("https://znanium.ru/catalog/product/2125593", "Ознакомиться")</f>
        <v>Ознакомиться</v>
      </c>
      <c r="W2625" s="8" t="s">
        <v>565</v>
      </c>
      <c r="X2625" s="6"/>
      <c r="Y2625" s="6"/>
      <c r="Z2625" s="6"/>
      <c r="AA2625" s="6" t="s">
        <v>76</v>
      </c>
      <c r="AB2625" s="8"/>
    </row>
    <row r="2626" spans="1:28" s="4" customFormat="1" ht="51.95" customHeight="1">
      <c r="A2626" s="5">
        <v>0</v>
      </c>
      <c r="B2626" s="6" t="s">
        <v>14869</v>
      </c>
      <c r="C2626" s="7">
        <v>1224</v>
      </c>
      <c r="D2626" s="8" t="s">
        <v>14870</v>
      </c>
      <c r="E2626" s="8" t="s">
        <v>14871</v>
      </c>
      <c r="F2626" s="8" t="s">
        <v>14872</v>
      </c>
      <c r="G2626" s="6" t="s">
        <v>38</v>
      </c>
      <c r="H2626" s="6" t="s">
        <v>39</v>
      </c>
      <c r="I2626" s="8" t="s">
        <v>40</v>
      </c>
      <c r="J2626" s="9">
        <v>1</v>
      </c>
      <c r="K2626" s="9">
        <v>261</v>
      </c>
      <c r="L2626" s="9">
        <v>2022</v>
      </c>
      <c r="M2626" s="8" t="s">
        <v>14873</v>
      </c>
      <c r="N2626" s="8" t="s">
        <v>42</v>
      </c>
      <c r="O2626" s="8" t="s">
        <v>189</v>
      </c>
      <c r="P2626" s="6" t="s">
        <v>44</v>
      </c>
      <c r="Q2626" s="8" t="s">
        <v>45</v>
      </c>
      <c r="R2626" s="10" t="s">
        <v>3997</v>
      </c>
      <c r="S2626" s="11"/>
      <c r="T2626" s="6"/>
      <c r="U2626" s="24" t="str">
        <f>HYPERLINK("https://media.infra-m.ru/1246/1246521/cover/1246521.jpg", "Обложка")</f>
        <v>Обложка</v>
      </c>
      <c r="V2626" s="24" t="str">
        <f>HYPERLINK("https://znanium.ru/catalog/product/1246521", "Ознакомиться")</f>
        <v>Ознакомиться</v>
      </c>
      <c r="W2626" s="8" t="s">
        <v>7034</v>
      </c>
      <c r="X2626" s="6"/>
      <c r="Y2626" s="6"/>
      <c r="Z2626" s="6"/>
      <c r="AA2626" s="6" t="s">
        <v>199</v>
      </c>
      <c r="AB2626" s="8"/>
    </row>
    <row r="2627" spans="1:28" s="4" customFormat="1" ht="42" customHeight="1">
      <c r="A2627" s="5">
        <v>0</v>
      </c>
      <c r="B2627" s="6" t="s">
        <v>14874</v>
      </c>
      <c r="C2627" s="7">
        <v>1392</v>
      </c>
      <c r="D2627" s="8" t="s">
        <v>14875</v>
      </c>
      <c r="E2627" s="8" t="s">
        <v>14876</v>
      </c>
      <c r="F2627" s="8" t="s">
        <v>4526</v>
      </c>
      <c r="G2627" s="6" t="s">
        <v>132</v>
      </c>
      <c r="H2627" s="6" t="s">
        <v>39</v>
      </c>
      <c r="I2627" s="8" t="s">
        <v>40</v>
      </c>
      <c r="J2627" s="9">
        <v>1</v>
      </c>
      <c r="K2627" s="9">
        <v>200</v>
      </c>
      <c r="L2627" s="9">
        <v>2025</v>
      </c>
      <c r="M2627" s="8" t="s">
        <v>14877</v>
      </c>
      <c r="N2627" s="8" t="s">
        <v>220</v>
      </c>
      <c r="O2627" s="8" t="s">
        <v>1250</v>
      </c>
      <c r="P2627" s="6" t="s">
        <v>44</v>
      </c>
      <c r="Q2627" s="8" t="s">
        <v>45</v>
      </c>
      <c r="R2627" s="10" t="s">
        <v>14878</v>
      </c>
      <c r="S2627" s="11"/>
      <c r="T2627" s="6"/>
      <c r="U2627" s="24" t="str">
        <f>HYPERLINK("https://media.infra-m.ru/2155/2155615/cover/2155615.jpg", "Обложка")</f>
        <v>Обложка</v>
      </c>
      <c r="V2627" s="24" t="str">
        <f>HYPERLINK("https://znanium.ru/catalog/product/2155615", "Ознакомиться")</f>
        <v>Ознакомиться</v>
      </c>
      <c r="W2627" s="8" t="s">
        <v>289</v>
      </c>
      <c r="X2627" s="6"/>
      <c r="Y2627" s="6"/>
      <c r="Z2627" s="6"/>
      <c r="AA2627" s="6" t="s">
        <v>159</v>
      </c>
      <c r="AB2627" s="8"/>
    </row>
    <row r="2628" spans="1:28" s="4" customFormat="1" ht="42" customHeight="1">
      <c r="A2628" s="5">
        <v>0</v>
      </c>
      <c r="B2628" s="6" t="s">
        <v>14879</v>
      </c>
      <c r="C2628" s="7">
        <v>1092</v>
      </c>
      <c r="D2628" s="8" t="s">
        <v>14880</v>
      </c>
      <c r="E2628" s="8" t="s">
        <v>14881</v>
      </c>
      <c r="F2628" s="8" t="s">
        <v>14882</v>
      </c>
      <c r="G2628" s="6" t="s">
        <v>132</v>
      </c>
      <c r="H2628" s="6" t="s">
        <v>39</v>
      </c>
      <c r="I2628" s="8" t="s">
        <v>40</v>
      </c>
      <c r="J2628" s="9">
        <v>1</v>
      </c>
      <c r="K2628" s="9">
        <v>163</v>
      </c>
      <c r="L2628" s="9">
        <v>2025</v>
      </c>
      <c r="M2628" s="8" t="s">
        <v>14883</v>
      </c>
      <c r="N2628" s="8" t="s">
        <v>42</v>
      </c>
      <c r="O2628" s="8" t="s">
        <v>101</v>
      </c>
      <c r="P2628" s="6" t="s">
        <v>44</v>
      </c>
      <c r="Q2628" s="8" t="s">
        <v>45</v>
      </c>
      <c r="R2628" s="10" t="s">
        <v>269</v>
      </c>
      <c r="S2628" s="11"/>
      <c r="T2628" s="6"/>
      <c r="U2628" s="24" t="str">
        <f>HYPERLINK("https://media.infra-m.ru/2187/2187527/cover/2187527.jpg", "Обложка")</f>
        <v>Обложка</v>
      </c>
      <c r="V2628" s="24" t="str">
        <f>HYPERLINK("https://znanium.ru/catalog/product/2187527", "Ознакомиться")</f>
        <v>Ознакомиться</v>
      </c>
      <c r="W2628" s="8" t="s">
        <v>191</v>
      </c>
      <c r="X2628" s="6" t="s">
        <v>450</v>
      </c>
      <c r="Y2628" s="6"/>
      <c r="Z2628" s="6"/>
      <c r="AA2628" s="6" t="s">
        <v>159</v>
      </c>
      <c r="AB2628" s="8" t="s">
        <v>1101</v>
      </c>
    </row>
    <row r="2629" spans="1:28" s="4" customFormat="1" ht="51.95" customHeight="1">
      <c r="A2629" s="5">
        <v>0</v>
      </c>
      <c r="B2629" s="6" t="s">
        <v>14884</v>
      </c>
      <c r="C2629" s="7">
        <v>3216</v>
      </c>
      <c r="D2629" s="8" t="s">
        <v>14885</v>
      </c>
      <c r="E2629" s="8" t="s">
        <v>14886</v>
      </c>
      <c r="F2629" s="8" t="s">
        <v>14882</v>
      </c>
      <c r="G2629" s="6" t="s">
        <v>132</v>
      </c>
      <c r="H2629" s="6" t="s">
        <v>39</v>
      </c>
      <c r="I2629" s="8" t="s">
        <v>40</v>
      </c>
      <c r="J2629" s="9">
        <v>1</v>
      </c>
      <c r="K2629" s="9">
        <v>582</v>
      </c>
      <c r="L2629" s="9">
        <v>2024</v>
      </c>
      <c r="M2629" s="8" t="s">
        <v>14887</v>
      </c>
      <c r="N2629" s="8" t="s">
        <v>220</v>
      </c>
      <c r="O2629" s="8" t="s">
        <v>296</v>
      </c>
      <c r="P2629" s="6" t="s">
        <v>44</v>
      </c>
      <c r="Q2629" s="8" t="s">
        <v>45</v>
      </c>
      <c r="R2629" s="10" t="s">
        <v>14888</v>
      </c>
      <c r="S2629" s="11"/>
      <c r="T2629" s="6"/>
      <c r="U2629" s="24" t="str">
        <f>HYPERLINK("https://media.infra-m.ru/1912/1912941/cover/1912941.jpg", "Обложка")</f>
        <v>Обложка</v>
      </c>
      <c r="V2629" s="24" t="str">
        <f>HYPERLINK("https://znanium.ru/catalog/product/1912941", "Ознакомиться")</f>
        <v>Ознакомиться</v>
      </c>
      <c r="W2629" s="8" t="s">
        <v>191</v>
      </c>
      <c r="X2629" s="6"/>
      <c r="Y2629" s="6"/>
      <c r="Z2629" s="6"/>
      <c r="AA2629" s="6" t="s">
        <v>68</v>
      </c>
      <c r="AB2629" s="8"/>
    </row>
    <row r="2630" spans="1:28" s="4" customFormat="1" ht="51.95" customHeight="1">
      <c r="A2630" s="5">
        <v>0</v>
      </c>
      <c r="B2630" s="6" t="s">
        <v>14889</v>
      </c>
      <c r="C2630" s="7">
        <v>1013.9</v>
      </c>
      <c r="D2630" s="8" t="s">
        <v>14890</v>
      </c>
      <c r="E2630" s="8" t="s">
        <v>14891</v>
      </c>
      <c r="F2630" s="8" t="s">
        <v>14892</v>
      </c>
      <c r="G2630" s="6" t="s">
        <v>38</v>
      </c>
      <c r="H2630" s="6" t="s">
        <v>39</v>
      </c>
      <c r="I2630" s="8" t="s">
        <v>40</v>
      </c>
      <c r="J2630" s="9">
        <v>1</v>
      </c>
      <c r="K2630" s="9">
        <v>182</v>
      </c>
      <c r="L2630" s="9">
        <v>2024</v>
      </c>
      <c r="M2630" s="8" t="s">
        <v>14893</v>
      </c>
      <c r="N2630" s="8" t="s">
        <v>54</v>
      </c>
      <c r="O2630" s="8" t="s">
        <v>140</v>
      </c>
      <c r="P2630" s="6" t="s">
        <v>44</v>
      </c>
      <c r="Q2630" s="8" t="s">
        <v>45</v>
      </c>
      <c r="R2630" s="10" t="s">
        <v>14894</v>
      </c>
      <c r="S2630" s="11"/>
      <c r="T2630" s="6"/>
      <c r="U2630" s="24" t="str">
        <f>HYPERLINK("https://media.infra-m.ru/2117/2117566/cover/2117566.jpg", "Обложка")</f>
        <v>Обложка</v>
      </c>
      <c r="V2630" s="24" t="str">
        <f>HYPERLINK("https://znanium.ru/catalog/product/2117073", "Ознакомиться")</f>
        <v>Ознакомиться</v>
      </c>
      <c r="W2630" s="8" t="s">
        <v>14895</v>
      </c>
      <c r="X2630" s="6"/>
      <c r="Y2630" s="6"/>
      <c r="Z2630" s="6"/>
      <c r="AA2630" s="6" t="s">
        <v>119</v>
      </c>
      <c r="AB2630" s="8"/>
    </row>
    <row r="2631" spans="1:28" s="4" customFormat="1" ht="42" customHeight="1">
      <c r="A2631" s="5">
        <v>0</v>
      </c>
      <c r="B2631" s="6" t="s">
        <v>14896</v>
      </c>
      <c r="C2631" s="7">
        <v>1924.8</v>
      </c>
      <c r="D2631" s="8" t="s">
        <v>14897</v>
      </c>
      <c r="E2631" s="8" t="s">
        <v>14898</v>
      </c>
      <c r="F2631" s="8" t="s">
        <v>14899</v>
      </c>
      <c r="G2631" s="6" t="s">
        <v>81</v>
      </c>
      <c r="H2631" s="6" t="s">
        <v>39</v>
      </c>
      <c r="I2631" s="8" t="s">
        <v>40</v>
      </c>
      <c r="J2631" s="9">
        <v>1</v>
      </c>
      <c r="K2631" s="9">
        <v>308</v>
      </c>
      <c r="L2631" s="9">
        <v>2026</v>
      </c>
      <c r="M2631" s="8" t="s">
        <v>14900</v>
      </c>
      <c r="N2631" s="8" t="s">
        <v>284</v>
      </c>
      <c r="O2631" s="8" t="s">
        <v>285</v>
      </c>
      <c r="P2631" s="6" t="s">
        <v>44</v>
      </c>
      <c r="Q2631" s="8" t="s">
        <v>45</v>
      </c>
      <c r="R2631" s="10" t="s">
        <v>7533</v>
      </c>
      <c r="S2631" s="11"/>
      <c r="T2631" s="6" t="s">
        <v>1080</v>
      </c>
      <c r="U2631" s="24" t="str">
        <f>HYPERLINK("https://media.infra-m.ru/2223/2223154/cover/2223154.jpg", "Обложка")</f>
        <v>Обложка</v>
      </c>
      <c r="V2631" s="24" t="str">
        <f>HYPERLINK("https://znanium.ru/catalog/product/1229805", "Ознакомиться")</f>
        <v>Ознакомиться</v>
      </c>
      <c r="W2631" s="8" t="s">
        <v>868</v>
      </c>
      <c r="X2631" s="6"/>
      <c r="Y2631" s="6"/>
      <c r="Z2631" s="6"/>
      <c r="AA2631" s="6" t="s">
        <v>369</v>
      </c>
      <c r="AB2631" s="8"/>
    </row>
    <row r="2632" spans="1:28" s="4" customFormat="1" ht="42" customHeight="1">
      <c r="A2632" s="5">
        <v>0</v>
      </c>
      <c r="B2632" s="6" t="s">
        <v>14901</v>
      </c>
      <c r="C2632" s="13">
        <v>984</v>
      </c>
      <c r="D2632" s="8" t="s">
        <v>14902</v>
      </c>
      <c r="E2632" s="8" t="s">
        <v>14903</v>
      </c>
      <c r="F2632" s="8" t="s">
        <v>14904</v>
      </c>
      <c r="G2632" s="6" t="s">
        <v>132</v>
      </c>
      <c r="H2632" s="6" t="s">
        <v>39</v>
      </c>
      <c r="I2632" s="8" t="s">
        <v>336</v>
      </c>
      <c r="J2632" s="9">
        <v>1</v>
      </c>
      <c r="K2632" s="9">
        <v>192</v>
      </c>
      <c r="L2632" s="9">
        <v>2022</v>
      </c>
      <c r="M2632" s="8" t="s">
        <v>14905</v>
      </c>
      <c r="N2632" s="8" t="s">
        <v>42</v>
      </c>
      <c r="O2632" s="8" t="s">
        <v>101</v>
      </c>
      <c r="P2632" s="6" t="s">
        <v>44</v>
      </c>
      <c r="Q2632" s="8" t="s">
        <v>45</v>
      </c>
      <c r="R2632" s="10" t="s">
        <v>14906</v>
      </c>
      <c r="S2632" s="11"/>
      <c r="T2632" s="6"/>
      <c r="U2632" s="24" t="str">
        <f>HYPERLINK("https://media.infra-m.ru/1867/1867000/cover/1867000.jpg", "Обложка")</f>
        <v>Обложка</v>
      </c>
      <c r="V2632" s="24" t="str">
        <f>HYPERLINK("https://znanium.ru/catalog/product/1905502", "Ознакомиться")</f>
        <v>Ознакомиться</v>
      </c>
      <c r="W2632" s="8" t="s">
        <v>103</v>
      </c>
      <c r="X2632" s="6"/>
      <c r="Y2632" s="6"/>
      <c r="Z2632" s="6"/>
      <c r="AA2632" s="6" t="s">
        <v>111</v>
      </c>
      <c r="AB2632" s="8"/>
    </row>
    <row r="2633" spans="1:28" s="4" customFormat="1" ht="51.95" customHeight="1">
      <c r="A2633" s="5">
        <v>0</v>
      </c>
      <c r="B2633" s="6" t="s">
        <v>14907</v>
      </c>
      <c r="C2633" s="7">
        <v>1440</v>
      </c>
      <c r="D2633" s="8" t="s">
        <v>14908</v>
      </c>
      <c r="E2633" s="8" t="s">
        <v>14909</v>
      </c>
      <c r="F2633" s="8" t="s">
        <v>14910</v>
      </c>
      <c r="G2633" s="6" t="s">
        <v>81</v>
      </c>
      <c r="H2633" s="6" t="s">
        <v>39</v>
      </c>
      <c r="I2633" s="8" t="s">
        <v>40</v>
      </c>
      <c r="J2633" s="9">
        <v>1</v>
      </c>
      <c r="K2633" s="9">
        <v>231</v>
      </c>
      <c r="L2633" s="9">
        <v>2026</v>
      </c>
      <c r="M2633" s="8" t="s">
        <v>14911</v>
      </c>
      <c r="N2633" s="8" t="s">
        <v>42</v>
      </c>
      <c r="O2633" s="8" t="s">
        <v>189</v>
      </c>
      <c r="P2633" s="6" t="s">
        <v>44</v>
      </c>
      <c r="Q2633" s="8" t="s">
        <v>45</v>
      </c>
      <c r="R2633" s="10" t="s">
        <v>14912</v>
      </c>
      <c r="S2633" s="11"/>
      <c r="T2633" s="6"/>
      <c r="U2633" s="24" t="str">
        <f>HYPERLINK("https://media.infra-m.ru/2212/2212631/cover/2212631.jpg", "Обложка")</f>
        <v>Обложка</v>
      </c>
      <c r="V2633" s="24" t="str">
        <f>HYPERLINK("https://znanium.ru/catalog/product/1015204", "Ознакомиться")</f>
        <v>Ознакомиться</v>
      </c>
      <c r="W2633" s="8" t="s">
        <v>12944</v>
      </c>
      <c r="X2633" s="6"/>
      <c r="Y2633" s="6"/>
      <c r="Z2633" s="6"/>
      <c r="AA2633" s="6" t="s">
        <v>339</v>
      </c>
      <c r="AB2633" s="8"/>
    </row>
    <row r="2634" spans="1:28" s="4" customFormat="1" ht="51.95" customHeight="1">
      <c r="A2634" s="5">
        <v>0</v>
      </c>
      <c r="B2634" s="6" t="s">
        <v>14913</v>
      </c>
      <c r="C2634" s="7">
        <v>1524</v>
      </c>
      <c r="D2634" s="8" t="s">
        <v>14914</v>
      </c>
      <c r="E2634" s="8" t="s">
        <v>14915</v>
      </c>
      <c r="F2634" s="8" t="s">
        <v>14916</v>
      </c>
      <c r="G2634" s="6" t="s">
        <v>38</v>
      </c>
      <c r="H2634" s="6" t="s">
        <v>39</v>
      </c>
      <c r="I2634" s="8" t="s">
        <v>40</v>
      </c>
      <c r="J2634" s="9">
        <v>1</v>
      </c>
      <c r="K2634" s="9">
        <v>229</v>
      </c>
      <c r="L2634" s="9">
        <v>2025</v>
      </c>
      <c r="M2634" s="8" t="s">
        <v>14917</v>
      </c>
      <c r="N2634" s="8" t="s">
        <v>42</v>
      </c>
      <c r="O2634" s="8" t="s">
        <v>189</v>
      </c>
      <c r="P2634" s="6" t="s">
        <v>44</v>
      </c>
      <c r="Q2634" s="8" t="s">
        <v>45</v>
      </c>
      <c r="R2634" s="10" t="s">
        <v>14918</v>
      </c>
      <c r="S2634" s="11"/>
      <c r="T2634" s="6"/>
      <c r="U2634" s="24" t="str">
        <f>HYPERLINK("https://media.infra-m.ru/2168/2168618/cover/2168618.jpg", "Обложка")</f>
        <v>Обложка</v>
      </c>
      <c r="V2634" s="24" t="str">
        <f>HYPERLINK("https://znanium.ru/catalog/product/2168618", "Ознакомиться")</f>
        <v>Ознакомиться</v>
      </c>
      <c r="W2634" s="8" t="s">
        <v>207</v>
      </c>
      <c r="X2634" s="6" t="s">
        <v>306</v>
      </c>
      <c r="Y2634" s="6"/>
      <c r="Z2634" s="6"/>
      <c r="AA2634" s="6" t="s">
        <v>159</v>
      </c>
      <c r="AB2634" s="8"/>
    </row>
    <row r="2635" spans="1:28" s="4" customFormat="1" ht="51.95" customHeight="1">
      <c r="A2635" s="5">
        <v>0</v>
      </c>
      <c r="B2635" s="6" t="s">
        <v>14919</v>
      </c>
      <c r="C2635" s="13">
        <v>796.8</v>
      </c>
      <c r="D2635" s="8" t="s">
        <v>14920</v>
      </c>
      <c r="E2635" s="8" t="s">
        <v>14921</v>
      </c>
      <c r="F2635" s="8" t="s">
        <v>14922</v>
      </c>
      <c r="G2635" s="6" t="s">
        <v>38</v>
      </c>
      <c r="H2635" s="6" t="s">
        <v>39</v>
      </c>
      <c r="I2635" s="8" t="s">
        <v>40</v>
      </c>
      <c r="J2635" s="9">
        <v>1</v>
      </c>
      <c r="K2635" s="9">
        <v>118</v>
      </c>
      <c r="L2635" s="9">
        <v>2026</v>
      </c>
      <c r="M2635" s="8" t="s">
        <v>14923</v>
      </c>
      <c r="N2635" s="8" t="s">
        <v>42</v>
      </c>
      <c r="O2635" s="8" t="s">
        <v>189</v>
      </c>
      <c r="P2635" s="6" t="s">
        <v>44</v>
      </c>
      <c r="Q2635" s="8" t="s">
        <v>45</v>
      </c>
      <c r="R2635" s="10" t="s">
        <v>14924</v>
      </c>
      <c r="S2635" s="11"/>
      <c r="T2635" s="6"/>
      <c r="U2635" s="24" t="str">
        <f>HYPERLINK("https://media.infra-m.ru/2214/2214236/cover/2214236.jpg", "Обложка")</f>
        <v>Обложка</v>
      </c>
      <c r="V2635" s="24" t="str">
        <f>HYPERLINK("https://znanium.ru/catalog/product/1947373", "Ознакомиться")</f>
        <v>Ознакомиться</v>
      </c>
      <c r="W2635" s="8" t="s">
        <v>5109</v>
      </c>
      <c r="X2635" s="6"/>
      <c r="Y2635" s="6"/>
      <c r="Z2635" s="6"/>
      <c r="AA2635" s="6" t="s">
        <v>127</v>
      </c>
      <c r="AB2635" s="8"/>
    </row>
    <row r="2636" spans="1:28" s="4" customFormat="1" ht="51.95" customHeight="1">
      <c r="A2636" s="5">
        <v>0</v>
      </c>
      <c r="B2636" s="6" t="s">
        <v>14925</v>
      </c>
      <c r="C2636" s="7">
        <v>1428</v>
      </c>
      <c r="D2636" s="8" t="s">
        <v>14926</v>
      </c>
      <c r="E2636" s="8" t="s">
        <v>14927</v>
      </c>
      <c r="F2636" s="8" t="s">
        <v>14928</v>
      </c>
      <c r="G2636" s="6" t="s">
        <v>38</v>
      </c>
      <c r="H2636" s="6" t="s">
        <v>39</v>
      </c>
      <c r="I2636" s="8" t="s">
        <v>164</v>
      </c>
      <c r="J2636" s="9">
        <v>1</v>
      </c>
      <c r="K2636" s="9">
        <v>228</v>
      </c>
      <c r="L2636" s="9">
        <v>2023</v>
      </c>
      <c r="M2636" s="8" t="s">
        <v>14929</v>
      </c>
      <c r="N2636" s="8" t="s">
        <v>42</v>
      </c>
      <c r="O2636" s="8" t="s">
        <v>189</v>
      </c>
      <c r="P2636" s="6" t="s">
        <v>44</v>
      </c>
      <c r="Q2636" s="8" t="s">
        <v>45</v>
      </c>
      <c r="R2636" s="10" t="s">
        <v>11235</v>
      </c>
      <c r="S2636" s="11"/>
      <c r="T2636" s="6"/>
      <c r="U2636" s="24" t="str">
        <f>HYPERLINK("https://media.infra-m.ru/2128/2128481/cover/2128481.jpg", "Обложка")</f>
        <v>Обложка</v>
      </c>
      <c r="V2636" s="24" t="str">
        <f>HYPERLINK("https://znanium.ru/catalog/product/2128481", "Ознакомиться")</f>
        <v>Ознакомиться</v>
      </c>
      <c r="W2636" s="8" t="s">
        <v>7864</v>
      </c>
      <c r="X2636" s="6"/>
      <c r="Y2636" s="6"/>
      <c r="Z2636" s="6"/>
      <c r="AA2636" s="6" t="s">
        <v>119</v>
      </c>
      <c r="AB2636" s="8"/>
    </row>
    <row r="2637" spans="1:28" s="4" customFormat="1" ht="42" customHeight="1">
      <c r="A2637" s="5">
        <v>0</v>
      </c>
      <c r="B2637" s="6" t="s">
        <v>14930</v>
      </c>
      <c r="C2637" s="7">
        <v>1248</v>
      </c>
      <c r="D2637" s="8" t="s">
        <v>14931</v>
      </c>
      <c r="E2637" s="8" t="s">
        <v>14932</v>
      </c>
      <c r="F2637" s="8" t="s">
        <v>14933</v>
      </c>
      <c r="G2637" s="6" t="s">
        <v>81</v>
      </c>
      <c r="H2637" s="6" t="s">
        <v>39</v>
      </c>
      <c r="I2637" s="8" t="s">
        <v>40</v>
      </c>
      <c r="J2637" s="9">
        <v>1</v>
      </c>
      <c r="K2637" s="9">
        <v>219</v>
      </c>
      <c r="L2637" s="9">
        <v>2024</v>
      </c>
      <c r="M2637" s="8" t="s">
        <v>14934</v>
      </c>
      <c r="N2637" s="8" t="s">
        <v>42</v>
      </c>
      <c r="O2637" s="8" t="s">
        <v>189</v>
      </c>
      <c r="P2637" s="6" t="s">
        <v>44</v>
      </c>
      <c r="Q2637" s="8" t="s">
        <v>45</v>
      </c>
      <c r="R2637" s="10" t="s">
        <v>6226</v>
      </c>
      <c r="S2637" s="11"/>
      <c r="T2637" s="6"/>
      <c r="U2637" s="24" t="str">
        <f>HYPERLINK("https://media.infra-m.ru/2142/2142819/cover/2142819.jpg", "Обложка")</f>
        <v>Обложка</v>
      </c>
      <c r="V2637" s="24" t="str">
        <f>HYPERLINK("https://znanium.ru/catalog/product/2142819", "Ознакомиться")</f>
        <v>Ознакомиться</v>
      </c>
      <c r="W2637" s="8" t="s">
        <v>142</v>
      </c>
      <c r="X2637" s="6"/>
      <c r="Y2637" s="6"/>
      <c r="Z2637" s="6"/>
      <c r="AA2637" s="6" t="s">
        <v>76</v>
      </c>
      <c r="AB2637" s="8"/>
    </row>
    <row r="2638" spans="1:28" s="4" customFormat="1" ht="42" customHeight="1">
      <c r="A2638" s="5">
        <v>0</v>
      </c>
      <c r="B2638" s="6" t="s">
        <v>14935</v>
      </c>
      <c r="C2638" s="7">
        <v>1637.9</v>
      </c>
      <c r="D2638" s="8" t="s">
        <v>14936</v>
      </c>
      <c r="E2638" s="8" t="s">
        <v>14937</v>
      </c>
      <c r="F2638" s="8" t="s">
        <v>14938</v>
      </c>
      <c r="G2638" s="6" t="s">
        <v>132</v>
      </c>
      <c r="H2638" s="6" t="s">
        <v>39</v>
      </c>
      <c r="I2638" s="8" t="s">
        <v>40</v>
      </c>
      <c r="J2638" s="9">
        <v>1</v>
      </c>
      <c r="K2638" s="9">
        <v>304</v>
      </c>
      <c r="L2638" s="9">
        <v>2023</v>
      </c>
      <c r="M2638" s="8" t="s">
        <v>14939</v>
      </c>
      <c r="N2638" s="8" t="s">
        <v>42</v>
      </c>
      <c r="O2638" s="8" t="s">
        <v>189</v>
      </c>
      <c r="P2638" s="6" t="s">
        <v>44</v>
      </c>
      <c r="Q2638" s="8" t="s">
        <v>45</v>
      </c>
      <c r="R2638" s="10" t="s">
        <v>5068</v>
      </c>
      <c r="S2638" s="11"/>
      <c r="T2638" s="6"/>
      <c r="U2638" s="24" t="str">
        <f>HYPERLINK("https://media.infra-m.ru/1981/1981663/cover/1981663.jpg", "Обложка")</f>
        <v>Обложка</v>
      </c>
      <c r="V2638" s="24" t="str">
        <f>HYPERLINK("https://znanium.ru/catalog/product/1012461", "Ознакомиться")</f>
        <v>Ознакомиться</v>
      </c>
      <c r="W2638" s="8" t="s">
        <v>207</v>
      </c>
      <c r="X2638" s="6"/>
      <c r="Y2638" s="6"/>
      <c r="Z2638" s="6"/>
      <c r="AA2638" s="6" t="s">
        <v>290</v>
      </c>
      <c r="AB2638" s="8"/>
    </row>
    <row r="2639" spans="1:28" s="4" customFormat="1" ht="51.95" customHeight="1">
      <c r="A2639" s="5">
        <v>0</v>
      </c>
      <c r="B2639" s="6" t="s">
        <v>14940</v>
      </c>
      <c r="C2639" s="7">
        <v>1193.9000000000001</v>
      </c>
      <c r="D2639" s="8" t="s">
        <v>14941</v>
      </c>
      <c r="E2639" s="8" t="s">
        <v>14942</v>
      </c>
      <c r="F2639" s="8" t="s">
        <v>14943</v>
      </c>
      <c r="G2639" s="6" t="s">
        <v>38</v>
      </c>
      <c r="H2639" s="6" t="s">
        <v>39</v>
      </c>
      <c r="I2639" s="8" t="s">
        <v>344</v>
      </c>
      <c r="J2639" s="9">
        <v>1</v>
      </c>
      <c r="K2639" s="9">
        <v>220</v>
      </c>
      <c r="L2639" s="9">
        <v>2023</v>
      </c>
      <c r="M2639" s="8" t="s">
        <v>14944</v>
      </c>
      <c r="N2639" s="8" t="s">
        <v>42</v>
      </c>
      <c r="O2639" s="8" t="s">
        <v>189</v>
      </c>
      <c r="P2639" s="6" t="s">
        <v>44</v>
      </c>
      <c r="Q2639" s="8" t="s">
        <v>45</v>
      </c>
      <c r="R2639" s="10" t="s">
        <v>14945</v>
      </c>
      <c r="S2639" s="11"/>
      <c r="T2639" s="6"/>
      <c r="U2639" s="24" t="str">
        <f>HYPERLINK("https://media.infra-m.ru/2021/2021407/cover/2021407.jpg", "Обложка")</f>
        <v>Обложка</v>
      </c>
      <c r="V2639" s="24" t="str">
        <f>HYPERLINK("https://znanium.ru/catalog/product/1093087", "Ознакомиться")</f>
        <v>Ознакомиться</v>
      </c>
      <c r="W2639" s="8" t="s">
        <v>346</v>
      </c>
      <c r="X2639" s="6"/>
      <c r="Y2639" s="6"/>
      <c r="Z2639" s="6"/>
      <c r="AA2639" s="6" t="s">
        <v>76</v>
      </c>
      <c r="AB2639" s="8"/>
    </row>
    <row r="2640" spans="1:28" s="4" customFormat="1" ht="42" customHeight="1">
      <c r="A2640" s="5">
        <v>0</v>
      </c>
      <c r="B2640" s="6" t="s">
        <v>14946</v>
      </c>
      <c r="C2640" s="13">
        <v>952.8</v>
      </c>
      <c r="D2640" s="8" t="s">
        <v>14947</v>
      </c>
      <c r="E2640" s="8" t="s">
        <v>14948</v>
      </c>
      <c r="F2640" s="8" t="s">
        <v>14949</v>
      </c>
      <c r="G2640" s="6" t="s">
        <v>38</v>
      </c>
      <c r="H2640" s="6" t="s">
        <v>99</v>
      </c>
      <c r="I2640" s="8"/>
      <c r="J2640" s="9">
        <v>1</v>
      </c>
      <c r="K2640" s="9">
        <v>144</v>
      </c>
      <c r="L2640" s="9">
        <v>2026</v>
      </c>
      <c r="M2640" s="8" t="s">
        <v>14950</v>
      </c>
      <c r="N2640" s="8" t="s">
        <v>42</v>
      </c>
      <c r="O2640" s="8" t="s">
        <v>189</v>
      </c>
      <c r="P2640" s="6" t="s">
        <v>44</v>
      </c>
      <c r="Q2640" s="8" t="s">
        <v>45</v>
      </c>
      <c r="R2640" s="10" t="s">
        <v>2503</v>
      </c>
      <c r="S2640" s="11"/>
      <c r="T2640" s="6"/>
      <c r="U2640" s="24" t="str">
        <f>HYPERLINK("https://media.infra-m.ru/2221/2221362/cover/2221362.jpg", "Обложка")</f>
        <v>Обложка</v>
      </c>
      <c r="V2640" s="24" t="str">
        <f>HYPERLINK("https://znanium.ru/catalog/product/2079672", "Ознакомиться")</f>
        <v>Ознакомиться</v>
      </c>
      <c r="W2640" s="8" t="s">
        <v>305</v>
      </c>
      <c r="X2640" s="6"/>
      <c r="Y2640" s="6"/>
      <c r="Z2640" s="6"/>
      <c r="AA2640" s="6" t="s">
        <v>290</v>
      </c>
      <c r="AB2640" s="8"/>
    </row>
    <row r="2641" spans="1:28" s="4" customFormat="1" ht="42" customHeight="1">
      <c r="A2641" s="5">
        <v>0</v>
      </c>
      <c r="B2641" s="6" t="s">
        <v>14951</v>
      </c>
      <c r="C2641" s="7">
        <v>3304.8</v>
      </c>
      <c r="D2641" s="8" t="s">
        <v>14952</v>
      </c>
      <c r="E2641" s="8" t="s">
        <v>14953</v>
      </c>
      <c r="F2641" s="8" t="s">
        <v>14954</v>
      </c>
      <c r="G2641" s="6" t="s">
        <v>81</v>
      </c>
      <c r="H2641" s="6" t="s">
        <v>39</v>
      </c>
      <c r="I2641" s="8"/>
      <c r="J2641" s="9">
        <v>1</v>
      </c>
      <c r="K2641" s="9">
        <v>480</v>
      </c>
      <c r="L2641" s="9">
        <v>2024</v>
      </c>
      <c r="M2641" s="8" t="s">
        <v>14955</v>
      </c>
      <c r="N2641" s="8" t="s">
        <v>42</v>
      </c>
      <c r="O2641" s="8" t="s">
        <v>189</v>
      </c>
      <c r="P2641" s="6" t="s">
        <v>286</v>
      </c>
      <c r="Q2641" s="8" t="s">
        <v>416</v>
      </c>
      <c r="R2641" s="10" t="s">
        <v>14956</v>
      </c>
      <c r="S2641" s="11"/>
      <c r="T2641" s="6"/>
      <c r="U2641" s="24" t="str">
        <f>HYPERLINK("https://media.infra-m.ru/2054/2054989/cover/2054989.jpg", "Обложка")</f>
        <v>Обложка</v>
      </c>
      <c r="V2641" s="24" t="str">
        <f>HYPERLINK("https://znanium.ru/catalog/product/1910620", "Ознакомиться")</f>
        <v>Ознакомиться</v>
      </c>
      <c r="W2641" s="8" t="s">
        <v>3715</v>
      </c>
      <c r="X2641" s="6"/>
      <c r="Y2641" s="6"/>
      <c r="Z2641" s="6"/>
      <c r="AA2641" s="6" t="s">
        <v>566</v>
      </c>
      <c r="AB2641" s="8"/>
    </row>
    <row r="2642" spans="1:28" s="4" customFormat="1" ht="42" customHeight="1">
      <c r="A2642" s="5">
        <v>0</v>
      </c>
      <c r="B2642" s="6" t="s">
        <v>14957</v>
      </c>
      <c r="C2642" s="7">
        <v>1492.8</v>
      </c>
      <c r="D2642" s="8" t="s">
        <v>14958</v>
      </c>
      <c r="E2642" s="8" t="s">
        <v>14959</v>
      </c>
      <c r="F2642" s="8" t="s">
        <v>14960</v>
      </c>
      <c r="G2642" s="6" t="s">
        <v>132</v>
      </c>
      <c r="H2642" s="6" t="s">
        <v>39</v>
      </c>
      <c r="I2642" s="8" t="s">
        <v>40</v>
      </c>
      <c r="J2642" s="9">
        <v>1</v>
      </c>
      <c r="K2642" s="9">
        <v>274</v>
      </c>
      <c r="L2642" s="9">
        <v>2023</v>
      </c>
      <c r="M2642" s="8" t="s">
        <v>14961</v>
      </c>
      <c r="N2642" s="8" t="s">
        <v>42</v>
      </c>
      <c r="O2642" s="8" t="s">
        <v>189</v>
      </c>
      <c r="P2642" s="6" t="s">
        <v>44</v>
      </c>
      <c r="Q2642" s="8" t="s">
        <v>45</v>
      </c>
      <c r="R2642" s="10" t="s">
        <v>1028</v>
      </c>
      <c r="S2642" s="11"/>
      <c r="T2642" s="6"/>
      <c r="U2642" s="24" t="str">
        <f>HYPERLINK("https://media.infra-m.ru/2006/2006056/cover/2006056.jpg", "Обложка")</f>
        <v>Обложка</v>
      </c>
      <c r="V2642" s="24" t="str">
        <f>HYPERLINK("https://znanium.ru/catalog/product/1045808", "Ознакомиться")</f>
        <v>Ознакомиться</v>
      </c>
      <c r="W2642" s="8" t="s">
        <v>167</v>
      </c>
      <c r="X2642" s="6"/>
      <c r="Y2642" s="6"/>
      <c r="Z2642" s="6"/>
      <c r="AA2642" s="6" t="s">
        <v>369</v>
      </c>
      <c r="AB2642" s="8"/>
    </row>
    <row r="2643" spans="1:28" s="4" customFormat="1" ht="51.95" customHeight="1">
      <c r="A2643" s="5">
        <v>0</v>
      </c>
      <c r="B2643" s="6" t="s">
        <v>14962</v>
      </c>
      <c r="C2643" s="7">
        <v>1872</v>
      </c>
      <c r="D2643" s="8" t="s">
        <v>14963</v>
      </c>
      <c r="E2643" s="8" t="s">
        <v>14964</v>
      </c>
      <c r="F2643" s="8" t="s">
        <v>14965</v>
      </c>
      <c r="G2643" s="6" t="s">
        <v>132</v>
      </c>
      <c r="H2643" s="6" t="s">
        <v>39</v>
      </c>
      <c r="I2643" s="8" t="s">
        <v>40</v>
      </c>
      <c r="J2643" s="9">
        <v>1</v>
      </c>
      <c r="K2643" s="9">
        <v>337</v>
      </c>
      <c r="L2643" s="9">
        <v>2023</v>
      </c>
      <c r="M2643" s="8" t="s">
        <v>14966</v>
      </c>
      <c r="N2643" s="8" t="s">
        <v>42</v>
      </c>
      <c r="O2643" s="8" t="s">
        <v>189</v>
      </c>
      <c r="P2643" s="6" t="s">
        <v>44</v>
      </c>
      <c r="Q2643" s="8" t="s">
        <v>45</v>
      </c>
      <c r="R2643" s="10" t="s">
        <v>14967</v>
      </c>
      <c r="S2643" s="11"/>
      <c r="T2643" s="6"/>
      <c r="U2643" s="24" t="str">
        <f>HYPERLINK("https://media.infra-m.ru/1912/1912459/cover/1912459.jpg", "Обложка")</f>
        <v>Обложка</v>
      </c>
      <c r="V2643" s="24" t="str">
        <f>HYPERLINK("https://znanium.ru/catalog/product/1912459", "Ознакомиться")</f>
        <v>Ознакомиться</v>
      </c>
      <c r="W2643" s="8" t="s">
        <v>14968</v>
      </c>
      <c r="X2643" s="6"/>
      <c r="Y2643" s="6"/>
      <c r="Z2643" s="6"/>
      <c r="AA2643" s="6" t="s">
        <v>119</v>
      </c>
      <c r="AB2643" s="8"/>
    </row>
    <row r="2644" spans="1:28" s="4" customFormat="1" ht="51.95" customHeight="1">
      <c r="A2644" s="5">
        <v>0</v>
      </c>
      <c r="B2644" s="6" t="s">
        <v>14969</v>
      </c>
      <c r="C2644" s="13">
        <v>876</v>
      </c>
      <c r="D2644" s="8" t="s">
        <v>14970</v>
      </c>
      <c r="E2644" s="8" t="s">
        <v>14971</v>
      </c>
      <c r="F2644" s="8" t="s">
        <v>14972</v>
      </c>
      <c r="G2644" s="6" t="s">
        <v>38</v>
      </c>
      <c r="H2644" s="6" t="s">
        <v>39</v>
      </c>
      <c r="I2644" s="8" t="s">
        <v>40</v>
      </c>
      <c r="J2644" s="9">
        <v>1</v>
      </c>
      <c r="K2644" s="9">
        <v>186</v>
      </c>
      <c r="L2644" s="9">
        <v>2022</v>
      </c>
      <c r="M2644" s="8" t="s">
        <v>14973</v>
      </c>
      <c r="N2644" s="8" t="s">
        <v>42</v>
      </c>
      <c r="O2644" s="8" t="s">
        <v>189</v>
      </c>
      <c r="P2644" s="6" t="s">
        <v>44</v>
      </c>
      <c r="Q2644" s="8" t="s">
        <v>45</v>
      </c>
      <c r="R2644" s="10" t="s">
        <v>6702</v>
      </c>
      <c r="S2644" s="11"/>
      <c r="T2644" s="6"/>
      <c r="U2644" s="24" t="str">
        <f>HYPERLINK("https://media.infra-m.ru/1862/1862608/cover/1862608.jpg", "Обложка")</f>
        <v>Обложка</v>
      </c>
      <c r="V2644" s="24" t="str">
        <f>HYPERLINK("https://znanium.ru/catalog/product/1862608", "Ознакомиться")</f>
        <v>Ознакомиться</v>
      </c>
      <c r="W2644" s="8" t="s">
        <v>223</v>
      </c>
      <c r="X2644" s="6"/>
      <c r="Y2644" s="6"/>
      <c r="Z2644" s="6"/>
      <c r="AA2644" s="6" t="s">
        <v>290</v>
      </c>
      <c r="AB2644" s="8"/>
    </row>
    <row r="2645" spans="1:28" s="4" customFormat="1" ht="44.1" customHeight="1">
      <c r="A2645" s="5">
        <v>0</v>
      </c>
      <c r="B2645" s="6" t="s">
        <v>14974</v>
      </c>
      <c r="C2645" s="7">
        <v>1260</v>
      </c>
      <c r="D2645" s="8" t="s">
        <v>14975</v>
      </c>
      <c r="E2645" s="8" t="s">
        <v>14976</v>
      </c>
      <c r="F2645" s="8" t="s">
        <v>14977</v>
      </c>
      <c r="G2645" s="6" t="s">
        <v>38</v>
      </c>
      <c r="H2645" s="6" t="s">
        <v>39</v>
      </c>
      <c r="I2645" s="8" t="s">
        <v>40</v>
      </c>
      <c r="J2645" s="9">
        <v>1</v>
      </c>
      <c r="K2645" s="9">
        <v>223</v>
      </c>
      <c r="L2645" s="9">
        <v>2023</v>
      </c>
      <c r="M2645" s="8" t="s">
        <v>14978</v>
      </c>
      <c r="N2645" s="8" t="s">
        <v>42</v>
      </c>
      <c r="O2645" s="8" t="s">
        <v>189</v>
      </c>
      <c r="P2645" s="6" t="s">
        <v>44</v>
      </c>
      <c r="Q2645" s="8" t="s">
        <v>45</v>
      </c>
      <c r="R2645" s="10" t="s">
        <v>190</v>
      </c>
      <c r="S2645" s="11"/>
      <c r="T2645" s="6"/>
      <c r="U2645" s="24" t="str">
        <f>HYPERLINK("https://media.infra-m.ru/1960/1960108/cover/1960108.jpg", "Обложка")</f>
        <v>Обложка</v>
      </c>
      <c r="V2645" s="24" t="str">
        <f>HYPERLINK("https://znanium.ru/catalog/product/1960108", "Ознакомиться")</f>
        <v>Ознакомиться</v>
      </c>
      <c r="W2645" s="8" t="s">
        <v>516</v>
      </c>
      <c r="X2645" s="6"/>
      <c r="Y2645" s="6"/>
      <c r="Z2645" s="6"/>
      <c r="AA2645" s="6" t="s">
        <v>168</v>
      </c>
      <c r="AB2645" s="8"/>
    </row>
    <row r="2646" spans="1:28" s="4" customFormat="1" ht="44.1" customHeight="1">
      <c r="A2646" s="5">
        <v>0</v>
      </c>
      <c r="B2646" s="6" t="s">
        <v>14979</v>
      </c>
      <c r="C2646" s="7">
        <v>1392</v>
      </c>
      <c r="D2646" s="8" t="s">
        <v>14980</v>
      </c>
      <c r="E2646" s="8" t="s">
        <v>14981</v>
      </c>
      <c r="F2646" s="8" t="s">
        <v>14982</v>
      </c>
      <c r="G2646" s="6" t="s">
        <v>38</v>
      </c>
      <c r="H2646" s="6" t="s">
        <v>39</v>
      </c>
      <c r="I2646" s="8" t="s">
        <v>164</v>
      </c>
      <c r="J2646" s="9">
        <v>1</v>
      </c>
      <c r="K2646" s="9">
        <v>229</v>
      </c>
      <c r="L2646" s="9">
        <v>2025</v>
      </c>
      <c r="M2646" s="8" t="s">
        <v>14983</v>
      </c>
      <c r="N2646" s="8" t="s">
        <v>42</v>
      </c>
      <c r="O2646" s="8" t="s">
        <v>189</v>
      </c>
      <c r="P2646" s="6" t="s">
        <v>44</v>
      </c>
      <c r="Q2646" s="8" t="s">
        <v>45</v>
      </c>
      <c r="R2646" s="10" t="s">
        <v>5733</v>
      </c>
      <c r="S2646" s="11"/>
      <c r="T2646" s="6"/>
      <c r="U2646" s="24" t="str">
        <f>HYPERLINK("https://media.infra-m.ru/2137/2137563/cover/2137563.jpg", "Обложка")</f>
        <v>Обложка</v>
      </c>
      <c r="V2646" s="24" t="str">
        <f>HYPERLINK("https://znanium.ru/catalog/product/2137563", "Ознакомиться")</f>
        <v>Ознакомиться</v>
      </c>
      <c r="W2646" s="8" t="s">
        <v>14984</v>
      </c>
      <c r="X2646" s="6"/>
      <c r="Y2646" s="6"/>
      <c r="Z2646" s="6"/>
      <c r="AA2646" s="6" t="s">
        <v>159</v>
      </c>
      <c r="AB2646" s="8"/>
    </row>
    <row r="2647" spans="1:28" s="4" customFormat="1" ht="51.95" customHeight="1">
      <c r="A2647" s="5">
        <v>0</v>
      </c>
      <c r="B2647" s="6" t="s">
        <v>14985</v>
      </c>
      <c r="C2647" s="7">
        <v>2016</v>
      </c>
      <c r="D2647" s="8" t="s">
        <v>14986</v>
      </c>
      <c r="E2647" s="8" t="s">
        <v>14987</v>
      </c>
      <c r="F2647" s="8" t="s">
        <v>5932</v>
      </c>
      <c r="G2647" s="6" t="s">
        <v>38</v>
      </c>
      <c r="H2647" s="6" t="s">
        <v>182</v>
      </c>
      <c r="I2647" s="8" t="s">
        <v>40</v>
      </c>
      <c r="J2647" s="9">
        <v>1</v>
      </c>
      <c r="K2647" s="9">
        <v>323</v>
      </c>
      <c r="L2647" s="9">
        <v>2025</v>
      </c>
      <c r="M2647" s="8" t="s">
        <v>14988</v>
      </c>
      <c r="N2647" s="8" t="s">
        <v>42</v>
      </c>
      <c r="O2647" s="8" t="s">
        <v>189</v>
      </c>
      <c r="P2647" s="6" t="s">
        <v>44</v>
      </c>
      <c r="Q2647" s="8" t="s">
        <v>45</v>
      </c>
      <c r="R2647" s="10" t="s">
        <v>14989</v>
      </c>
      <c r="S2647" s="11"/>
      <c r="T2647" s="6"/>
      <c r="U2647" s="24" t="str">
        <f>HYPERLINK("https://media.infra-m.ru/2208/2208438/cover/2208438.jpg", "Обложка")</f>
        <v>Обложка</v>
      </c>
      <c r="V2647" s="12"/>
      <c r="W2647" s="8" t="s">
        <v>3948</v>
      </c>
      <c r="X2647" s="6"/>
      <c r="Y2647" s="6"/>
      <c r="Z2647" s="6"/>
      <c r="AA2647" s="6" t="s">
        <v>199</v>
      </c>
      <c r="AB2647" s="8"/>
    </row>
    <row r="2648" spans="1:28" s="4" customFormat="1" ht="42" customHeight="1">
      <c r="A2648" s="5">
        <v>0</v>
      </c>
      <c r="B2648" s="6" t="s">
        <v>14990</v>
      </c>
      <c r="C2648" s="13">
        <v>804</v>
      </c>
      <c r="D2648" s="8" t="s">
        <v>14991</v>
      </c>
      <c r="E2648" s="8" t="s">
        <v>14992</v>
      </c>
      <c r="F2648" s="8" t="s">
        <v>14993</v>
      </c>
      <c r="G2648" s="6" t="s">
        <v>38</v>
      </c>
      <c r="H2648" s="6" t="s">
        <v>182</v>
      </c>
      <c r="I2648" s="8" t="s">
        <v>40</v>
      </c>
      <c r="J2648" s="9">
        <v>1</v>
      </c>
      <c r="K2648" s="9">
        <v>148</v>
      </c>
      <c r="L2648" s="9">
        <v>2023</v>
      </c>
      <c r="M2648" s="8" t="s">
        <v>14994</v>
      </c>
      <c r="N2648" s="8" t="s">
        <v>42</v>
      </c>
      <c r="O2648" s="8" t="s">
        <v>189</v>
      </c>
      <c r="P2648" s="6" t="s">
        <v>44</v>
      </c>
      <c r="Q2648" s="8" t="s">
        <v>45</v>
      </c>
      <c r="R2648" s="10" t="s">
        <v>14995</v>
      </c>
      <c r="S2648" s="11"/>
      <c r="T2648" s="6"/>
      <c r="U2648" s="24" t="str">
        <f>HYPERLINK("https://media.infra-m.ru/1893/1893976/cover/1893976.jpg", "Обложка")</f>
        <v>Обложка</v>
      </c>
      <c r="V2648" s="12"/>
      <c r="W2648" s="8" t="s">
        <v>14996</v>
      </c>
      <c r="X2648" s="6"/>
      <c r="Y2648" s="6"/>
      <c r="Z2648" s="6"/>
      <c r="AA2648" s="6" t="s">
        <v>199</v>
      </c>
      <c r="AB2648" s="8"/>
    </row>
    <row r="2649" spans="1:28" s="4" customFormat="1" ht="44.1" customHeight="1">
      <c r="A2649" s="5">
        <v>0</v>
      </c>
      <c r="B2649" s="6" t="s">
        <v>14997</v>
      </c>
      <c r="C2649" s="7">
        <v>1260</v>
      </c>
      <c r="D2649" s="8" t="s">
        <v>14998</v>
      </c>
      <c r="E2649" s="8" t="s">
        <v>14999</v>
      </c>
      <c r="F2649" s="8" t="s">
        <v>15000</v>
      </c>
      <c r="G2649" s="6" t="s">
        <v>38</v>
      </c>
      <c r="H2649" s="6" t="s">
        <v>39</v>
      </c>
      <c r="I2649" s="8" t="s">
        <v>40</v>
      </c>
      <c r="J2649" s="9">
        <v>1</v>
      </c>
      <c r="K2649" s="9">
        <v>233</v>
      </c>
      <c r="L2649" s="9">
        <v>2023</v>
      </c>
      <c r="M2649" s="8" t="s">
        <v>15001</v>
      </c>
      <c r="N2649" s="8" t="s">
        <v>42</v>
      </c>
      <c r="O2649" s="8" t="s">
        <v>189</v>
      </c>
      <c r="P2649" s="6" t="s">
        <v>44</v>
      </c>
      <c r="Q2649" s="8" t="s">
        <v>45</v>
      </c>
      <c r="R2649" s="10" t="s">
        <v>15002</v>
      </c>
      <c r="S2649" s="11"/>
      <c r="T2649" s="6"/>
      <c r="U2649" s="24" t="str">
        <f>HYPERLINK("https://media.infra-m.ru/2022/2022269/cover/2022269.jpg", "Обложка")</f>
        <v>Обложка</v>
      </c>
      <c r="V2649" s="24" t="str">
        <f>HYPERLINK("https://znanium.ru/catalog/product/2022269", "Ознакомиться")</f>
        <v>Ознакомиться</v>
      </c>
      <c r="W2649" s="8" t="s">
        <v>7395</v>
      </c>
      <c r="X2649" s="6"/>
      <c r="Y2649" s="6"/>
      <c r="Z2649" s="6"/>
      <c r="AA2649" s="6" t="s">
        <v>111</v>
      </c>
      <c r="AB2649" s="8"/>
    </row>
    <row r="2650" spans="1:28" s="4" customFormat="1" ht="42" customHeight="1">
      <c r="A2650" s="5">
        <v>0</v>
      </c>
      <c r="B2650" s="6" t="s">
        <v>15003</v>
      </c>
      <c r="C2650" s="13">
        <v>580.79999999999995</v>
      </c>
      <c r="D2650" s="8" t="s">
        <v>15004</v>
      </c>
      <c r="E2650" s="8" t="s">
        <v>15005</v>
      </c>
      <c r="F2650" s="8" t="s">
        <v>15006</v>
      </c>
      <c r="G2650" s="6" t="s">
        <v>38</v>
      </c>
      <c r="H2650" s="6" t="s">
        <v>39</v>
      </c>
      <c r="I2650" s="8" t="s">
        <v>40</v>
      </c>
      <c r="J2650" s="9">
        <v>1</v>
      </c>
      <c r="K2650" s="9">
        <v>105</v>
      </c>
      <c r="L2650" s="9">
        <v>2024</v>
      </c>
      <c r="M2650" s="8" t="s">
        <v>15007</v>
      </c>
      <c r="N2650" s="8" t="s">
        <v>42</v>
      </c>
      <c r="O2650" s="8" t="s">
        <v>189</v>
      </c>
      <c r="P2650" s="6" t="s">
        <v>44</v>
      </c>
      <c r="Q2650" s="8" t="s">
        <v>45</v>
      </c>
      <c r="R2650" s="10" t="s">
        <v>573</v>
      </c>
      <c r="S2650" s="11"/>
      <c r="T2650" s="6"/>
      <c r="U2650" s="24" t="str">
        <f>HYPERLINK("https://media.infra-m.ru/2087/2087254/cover/2087254.jpg", "Обложка")</f>
        <v>Обложка</v>
      </c>
      <c r="V2650" s="24" t="str">
        <f>HYPERLINK("https://znanium.ru/catalog/product/2087254", "Ознакомиться")</f>
        <v>Ознакомиться</v>
      </c>
      <c r="W2650" s="8" t="s">
        <v>886</v>
      </c>
      <c r="X2650" s="6"/>
      <c r="Y2650" s="6"/>
      <c r="Z2650" s="6"/>
      <c r="AA2650" s="6" t="s">
        <v>127</v>
      </c>
      <c r="AB2650" s="8"/>
    </row>
    <row r="2651" spans="1:28" s="4" customFormat="1" ht="44.1" customHeight="1">
      <c r="A2651" s="5">
        <v>0</v>
      </c>
      <c r="B2651" s="6" t="s">
        <v>15008</v>
      </c>
      <c r="C2651" s="7">
        <v>1792.8</v>
      </c>
      <c r="D2651" s="8" t="s">
        <v>15009</v>
      </c>
      <c r="E2651" s="8" t="s">
        <v>15010</v>
      </c>
      <c r="F2651" s="8" t="s">
        <v>15011</v>
      </c>
      <c r="G2651" s="6" t="s">
        <v>38</v>
      </c>
      <c r="H2651" s="6" t="s">
        <v>1019</v>
      </c>
      <c r="I2651" s="8" t="s">
        <v>1020</v>
      </c>
      <c r="J2651" s="9">
        <v>1</v>
      </c>
      <c r="K2651" s="9">
        <v>288</v>
      </c>
      <c r="L2651" s="9">
        <v>2026</v>
      </c>
      <c r="M2651" s="8" t="s">
        <v>15012</v>
      </c>
      <c r="N2651" s="8" t="s">
        <v>42</v>
      </c>
      <c r="O2651" s="8" t="s">
        <v>189</v>
      </c>
      <c r="P2651" s="6" t="s">
        <v>44</v>
      </c>
      <c r="Q2651" s="8" t="s">
        <v>1152</v>
      </c>
      <c r="R2651" s="10" t="s">
        <v>902</v>
      </c>
      <c r="S2651" s="11"/>
      <c r="T2651" s="6"/>
      <c r="U2651" s="24" t="str">
        <f>HYPERLINK("https://media.infra-m.ru/2221/2221568/cover/2221568.jpg", "Обложка")</f>
        <v>Обложка</v>
      </c>
      <c r="V2651" s="24" t="str">
        <f>HYPERLINK("https://znanium.ru/catalog/product/1241802", "Ознакомиться")</f>
        <v>Ознакомиться</v>
      </c>
      <c r="W2651" s="8" t="s">
        <v>167</v>
      </c>
      <c r="X2651" s="6"/>
      <c r="Y2651" s="6"/>
      <c r="Z2651" s="6"/>
      <c r="AA2651" s="6" t="s">
        <v>377</v>
      </c>
      <c r="AB2651" s="8"/>
    </row>
    <row r="2652" spans="1:28" s="4" customFormat="1" ht="42" customHeight="1">
      <c r="A2652" s="5">
        <v>0</v>
      </c>
      <c r="B2652" s="6" t="s">
        <v>15013</v>
      </c>
      <c r="C2652" s="7">
        <v>1620</v>
      </c>
      <c r="D2652" s="8" t="s">
        <v>15014</v>
      </c>
      <c r="E2652" s="8" t="s">
        <v>15015</v>
      </c>
      <c r="F2652" s="8" t="s">
        <v>15016</v>
      </c>
      <c r="G2652" s="6" t="s">
        <v>132</v>
      </c>
      <c r="H2652" s="6" t="s">
        <v>39</v>
      </c>
      <c r="I2652" s="8" t="s">
        <v>164</v>
      </c>
      <c r="J2652" s="9">
        <v>1</v>
      </c>
      <c r="K2652" s="9">
        <v>245</v>
      </c>
      <c r="L2652" s="9">
        <v>2025</v>
      </c>
      <c r="M2652" s="8" t="s">
        <v>15017</v>
      </c>
      <c r="N2652" s="8" t="s">
        <v>42</v>
      </c>
      <c r="O2652" s="8" t="s">
        <v>189</v>
      </c>
      <c r="P2652" s="6" t="s">
        <v>44</v>
      </c>
      <c r="Q2652" s="8" t="s">
        <v>45</v>
      </c>
      <c r="R2652" s="10" t="s">
        <v>6226</v>
      </c>
      <c r="S2652" s="11"/>
      <c r="T2652" s="6"/>
      <c r="U2652" s="24" t="str">
        <f>HYPERLINK("https://media.infra-m.ru/2176/2176614/cover/2176614.jpg", "Обложка")</f>
        <v>Обложка</v>
      </c>
      <c r="V2652" s="24" t="str">
        <f>HYPERLINK("https://znanium.ru/catalog/product/2176614", "Ознакомиться")</f>
        <v>Ознакомиться</v>
      </c>
      <c r="W2652" s="8" t="s">
        <v>167</v>
      </c>
      <c r="X2652" s="6" t="s">
        <v>492</v>
      </c>
      <c r="Y2652" s="6"/>
      <c r="Z2652" s="6"/>
      <c r="AA2652" s="6" t="s">
        <v>159</v>
      </c>
      <c r="AB2652" s="8"/>
    </row>
    <row r="2653" spans="1:28" s="4" customFormat="1" ht="44.1" customHeight="1">
      <c r="A2653" s="5">
        <v>0</v>
      </c>
      <c r="B2653" s="6" t="s">
        <v>15018</v>
      </c>
      <c r="C2653" s="7">
        <v>1188</v>
      </c>
      <c r="D2653" s="8" t="s">
        <v>15019</v>
      </c>
      <c r="E2653" s="8" t="s">
        <v>15020</v>
      </c>
      <c r="F2653" s="8" t="s">
        <v>6468</v>
      </c>
      <c r="G2653" s="6" t="s">
        <v>38</v>
      </c>
      <c r="H2653" s="6" t="s">
        <v>39</v>
      </c>
      <c r="I2653" s="8" t="s">
        <v>40</v>
      </c>
      <c r="J2653" s="9">
        <v>1</v>
      </c>
      <c r="K2653" s="9">
        <v>206</v>
      </c>
      <c r="L2653" s="9">
        <v>2024</v>
      </c>
      <c r="M2653" s="8" t="s">
        <v>15021</v>
      </c>
      <c r="N2653" s="8" t="s">
        <v>42</v>
      </c>
      <c r="O2653" s="8" t="s">
        <v>189</v>
      </c>
      <c r="P2653" s="6" t="s">
        <v>44</v>
      </c>
      <c r="Q2653" s="8" t="s">
        <v>45</v>
      </c>
      <c r="R2653" s="10" t="s">
        <v>15022</v>
      </c>
      <c r="S2653" s="11"/>
      <c r="T2653" s="6"/>
      <c r="U2653" s="24" t="str">
        <f>HYPERLINK("https://media.infra-m.ru/2110/2110855/cover/2110855.jpg", "Обложка")</f>
        <v>Обложка</v>
      </c>
      <c r="V2653" s="24" t="str">
        <f>HYPERLINK("https://znanium.ru/catalog/product/2110855", "Ознакомиться")</f>
        <v>Ознакомиться</v>
      </c>
      <c r="W2653" s="8" t="s">
        <v>6013</v>
      </c>
      <c r="X2653" s="6"/>
      <c r="Y2653" s="6"/>
      <c r="Z2653" s="6"/>
      <c r="AA2653" s="6" t="s">
        <v>58</v>
      </c>
      <c r="AB2653" s="8"/>
    </row>
    <row r="2654" spans="1:28" s="4" customFormat="1" ht="42" customHeight="1">
      <c r="A2654" s="5">
        <v>0</v>
      </c>
      <c r="B2654" s="6" t="s">
        <v>15023</v>
      </c>
      <c r="C2654" s="7">
        <v>2352</v>
      </c>
      <c r="D2654" s="8" t="s">
        <v>15024</v>
      </c>
      <c r="E2654" s="8" t="s">
        <v>15025</v>
      </c>
      <c r="F2654" s="8" t="s">
        <v>5932</v>
      </c>
      <c r="G2654" s="6" t="s">
        <v>132</v>
      </c>
      <c r="H2654" s="6" t="s">
        <v>39</v>
      </c>
      <c r="I2654" s="8" t="s">
        <v>40</v>
      </c>
      <c r="J2654" s="9">
        <v>1</v>
      </c>
      <c r="K2654" s="9">
        <v>373</v>
      </c>
      <c r="L2654" s="9">
        <v>2025</v>
      </c>
      <c r="M2654" s="8" t="s">
        <v>15026</v>
      </c>
      <c r="N2654" s="8" t="s">
        <v>42</v>
      </c>
      <c r="O2654" s="8" t="s">
        <v>189</v>
      </c>
      <c r="P2654" s="6" t="s">
        <v>44</v>
      </c>
      <c r="Q2654" s="8" t="s">
        <v>45</v>
      </c>
      <c r="R2654" s="10" t="s">
        <v>1426</v>
      </c>
      <c r="S2654" s="11"/>
      <c r="T2654" s="6"/>
      <c r="U2654" s="24" t="str">
        <f>HYPERLINK("https://media.infra-m.ru/2188/2188425/cover/2188425.jpg", "Обложка")</f>
        <v>Обложка</v>
      </c>
      <c r="V2654" s="24" t="str">
        <f>HYPERLINK("https://znanium.ru/catalog/product/2188425", "Ознакомиться")</f>
        <v>Ознакомиться</v>
      </c>
      <c r="W2654" s="8" t="s">
        <v>3948</v>
      </c>
      <c r="X2654" s="6" t="s">
        <v>492</v>
      </c>
      <c r="Y2654" s="6"/>
      <c r="Z2654" s="6"/>
      <c r="AA2654" s="6" t="s">
        <v>159</v>
      </c>
      <c r="AB2654" s="8"/>
    </row>
    <row r="2655" spans="1:28" s="4" customFormat="1" ht="42" customHeight="1">
      <c r="A2655" s="5">
        <v>0</v>
      </c>
      <c r="B2655" s="6" t="s">
        <v>15027</v>
      </c>
      <c r="C2655" s="13">
        <v>852</v>
      </c>
      <c r="D2655" s="8" t="s">
        <v>15028</v>
      </c>
      <c r="E2655" s="8" t="s">
        <v>15029</v>
      </c>
      <c r="F2655" s="8" t="s">
        <v>15030</v>
      </c>
      <c r="G2655" s="6" t="s">
        <v>81</v>
      </c>
      <c r="H2655" s="6" t="s">
        <v>39</v>
      </c>
      <c r="I2655" s="8" t="s">
        <v>40</v>
      </c>
      <c r="J2655" s="9">
        <v>1</v>
      </c>
      <c r="K2655" s="9">
        <v>206</v>
      </c>
      <c r="L2655" s="9">
        <v>2019</v>
      </c>
      <c r="M2655" s="8" t="s">
        <v>15031</v>
      </c>
      <c r="N2655" s="8" t="s">
        <v>42</v>
      </c>
      <c r="O2655" s="8" t="s">
        <v>189</v>
      </c>
      <c r="P2655" s="6" t="s">
        <v>44</v>
      </c>
      <c r="Q2655" s="8" t="s">
        <v>45</v>
      </c>
      <c r="R2655" s="10" t="s">
        <v>1028</v>
      </c>
      <c r="S2655" s="11"/>
      <c r="T2655" s="6"/>
      <c r="U2655" s="24" t="str">
        <f>HYPERLINK("https://media.infra-m.ru/1003/1003241/cover/1003241.jpg", "Обложка")</f>
        <v>Обложка</v>
      </c>
      <c r="V2655" s="24" t="str">
        <f>HYPERLINK("https://znanium.ru/catalog/product/1003241", "Ознакомиться")</f>
        <v>Ознакомиться</v>
      </c>
      <c r="W2655" s="8" t="s">
        <v>916</v>
      </c>
      <c r="X2655" s="6"/>
      <c r="Y2655" s="6"/>
      <c r="Z2655" s="6"/>
      <c r="AA2655" s="6" t="s">
        <v>68</v>
      </c>
      <c r="AB2655" s="8"/>
    </row>
    <row r="2656" spans="1:28" s="4" customFormat="1" ht="42" customHeight="1">
      <c r="A2656" s="5">
        <v>0</v>
      </c>
      <c r="B2656" s="6" t="s">
        <v>15032</v>
      </c>
      <c r="C2656" s="7">
        <v>1896</v>
      </c>
      <c r="D2656" s="8" t="s">
        <v>15033</v>
      </c>
      <c r="E2656" s="8" t="s">
        <v>15034</v>
      </c>
      <c r="F2656" s="8" t="s">
        <v>15035</v>
      </c>
      <c r="G2656" s="6" t="s">
        <v>81</v>
      </c>
      <c r="H2656" s="6" t="s">
        <v>39</v>
      </c>
      <c r="I2656" s="8" t="s">
        <v>40</v>
      </c>
      <c r="J2656" s="9">
        <v>1</v>
      </c>
      <c r="K2656" s="9">
        <v>350</v>
      </c>
      <c r="L2656" s="9">
        <v>2023</v>
      </c>
      <c r="M2656" s="8" t="s">
        <v>15036</v>
      </c>
      <c r="N2656" s="8" t="s">
        <v>42</v>
      </c>
      <c r="O2656" s="8" t="s">
        <v>189</v>
      </c>
      <c r="P2656" s="6" t="s">
        <v>44</v>
      </c>
      <c r="Q2656" s="8" t="s">
        <v>45</v>
      </c>
      <c r="R2656" s="10" t="s">
        <v>573</v>
      </c>
      <c r="S2656" s="11"/>
      <c r="T2656" s="6"/>
      <c r="U2656" s="24" t="str">
        <f>HYPERLINK("https://media.infra-m.ru/1960/1960030/cover/1960030.jpg", "Обложка")</f>
        <v>Обложка</v>
      </c>
      <c r="V2656" s="24" t="str">
        <f>HYPERLINK("https://znanium.ru/catalog/product/1960030", "Ознакомиться")</f>
        <v>Ознакомиться</v>
      </c>
      <c r="W2656" s="8" t="s">
        <v>8046</v>
      </c>
      <c r="X2656" s="6"/>
      <c r="Y2656" s="6"/>
      <c r="Z2656" s="6"/>
      <c r="AA2656" s="6" t="s">
        <v>168</v>
      </c>
      <c r="AB2656" s="8"/>
    </row>
    <row r="2657" spans="1:28" s="4" customFormat="1" ht="44.1" customHeight="1">
      <c r="A2657" s="5">
        <v>0</v>
      </c>
      <c r="B2657" s="6" t="s">
        <v>15037</v>
      </c>
      <c r="C2657" s="7">
        <v>1488</v>
      </c>
      <c r="D2657" s="8" t="s">
        <v>15038</v>
      </c>
      <c r="E2657" s="8" t="s">
        <v>15039</v>
      </c>
      <c r="F2657" s="8" t="s">
        <v>15040</v>
      </c>
      <c r="G2657" s="6" t="s">
        <v>81</v>
      </c>
      <c r="H2657" s="6" t="s">
        <v>39</v>
      </c>
      <c r="I2657" s="8" t="s">
        <v>40</v>
      </c>
      <c r="J2657" s="9">
        <v>1</v>
      </c>
      <c r="K2657" s="9">
        <v>248</v>
      </c>
      <c r="L2657" s="9">
        <v>2025</v>
      </c>
      <c r="M2657" s="8" t="s">
        <v>15041</v>
      </c>
      <c r="N2657" s="8" t="s">
        <v>42</v>
      </c>
      <c r="O2657" s="8" t="s">
        <v>189</v>
      </c>
      <c r="P2657" s="6" t="s">
        <v>44</v>
      </c>
      <c r="Q2657" s="8" t="s">
        <v>45</v>
      </c>
      <c r="R2657" s="10" t="s">
        <v>2819</v>
      </c>
      <c r="S2657" s="11"/>
      <c r="T2657" s="6"/>
      <c r="U2657" s="24" t="str">
        <f>HYPERLINK("https://media.infra-m.ru/2163/2163771/cover/2163771.jpg", "Обложка")</f>
        <v>Обложка</v>
      </c>
      <c r="V2657" s="24" t="str">
        <f>HYPERLINK("https://znanium.ru/catalog/product/2163771", "Ознакомиться")</f>
        <v>Ознакомиться</v>
      </c>
      <c r="W2657" s="8" t="s">
        <v>1413</v>
      </c>
      <c r="X2657" s="6"/>
      <c r="Y2657" s="6"/>
      <c r="Z2657" s="6"/>
      <c r="AA2657" s="6" t="s">
        <v>119</v>
      </c>
      <c r="AB2657" s="8" t="s">
        <v>15042</v>
      </c>
    </row>
    <row r="2658" spans="1:28" s="4" customFormat="1" ht="42" customHeight="1">
      <c r="A2658" s="5">
        <v>0</v>
      </c>
      <c r="B2658" s="6" t="s">
        <v>15043</v>
      </c>
      <c r="C2658" s="7">
        <v>1745.9</v>
      </c>
      <c r="D2658" s="8" t="s">
        <v>15044</v>
      </c>
      <c r="E2658" s="8" t="s">
        <v>15045</v>
      </c>
      <c r="F2658" s="8" t="s">
        <v>15046</v>
      </c>
      <c r="G2658" s="6" t="s">
        <v>132</v>
      </c>
      <c r="H2658" s="6" t="s">
        <v>39</v>
      </c>
      <c r="I2658" s="8" t="s">
        <v>40</v>
      </c>
      <c r="J2658" s="9">
        <v>1</v>
      </c>
      <c r="K2658" s="9">
        <v>324</v>
      </c>
      <c r="L2658" s="9">
        <v>2023</v>
      </c>
      <c r="M2658" s="8" t="s">
        <v>15047</v>
      </c>
      <c r="N2658" s="8" t="s">
        <v>42</v>
      </c>
      <c r="O2658" s="8" t="s">
        <v>189</v>
      </c>
      <c r="P2658" s="6" t="s">
        <v>44</v>
      </c>
      <c r="Q2658" s="8" t="s">
        <v>45</v>
      </c>
      <c r="R2658" s="10" t="s">
        <v>15048</v>
      </c>
      <c r="S2658" s="11"/>
      <c r="T2658" s="6"/>
      <c r="U2658" s="24" t="str">
        <f>HYPERLINK("https://media.infra-m.ru/2006/2006905/cover/2006905.jpg", "Обложка")</f>
        <v>Обложка</v>
      </c>
      <c r="V2658" s="24" t="str">
        <f>HYPERLINK("https://znanium.ru/catalog/product/977548", "Ознакомиться")</f>
        <v>Ознакомиться</v>
      </c>
      <c r="W2658" s="8" t="s">
        <v>2320</v>
      </c>
      <c r="X2658" s="6"/>
      <c r="Y2658" s="6"/>
      <c r="Z2658" s="6"/>
      <c r="AA2658" s="6" t="s">
        <v>168</v>
      </c>
      <c r="AB2658" s="8"/>
    </row>
    <row r="2659" spans="1:28" s="4" customFormat="1" ht="42" customHeight="1">
      <c r="A2659" s="5">
        <v>0</v>
      </c>
      <c r="B2659" s="6" t="s">
        <v>15049</v>
      </c>
      <c r="C2659" s="7">
        <v>2136</v>
      </c>
      <c r="D2659" s="8" t="s">
        <v>15050</v>
      </c>
      <c r="E2659" s="8" t="s">
        <v>15051</v>
      </c>
      <c r="F2659" s="8" t="s">
        <v>15052</v>
      </c>
      <c r="G2659" s="6" t="s">
        <v>132</v>
      </c>
      <c r="H2659" s="6" t="s">
        <v>39</v>
      </c>
      <c r="I2659" s="8" t="s">
        <v>40</v>
      </c>
      <c r="J2659" s="9">
        <v>1</v>
      </c>
      <c r="K2659" s="9">
        <v>356</v>
      </c>
      <c r="L2659" s="9">
        <v>2024</v>
      </c>
      <c r="M2659" s="8" t="s">
        <v>15053</v>
      </c>
      <c r="N2659" s="8" t="s">
        <v>42</v>
      </c>
      <c r="O2659" s="8" t="s">
        <v>189</v>
      </c>
      <c r="P2659" s="6" t="s">
        <v>44</v>
      </c>
      <c r="Q2659" s="8" t="s">
        <v>45</v>
      </c>
      <c r="R2659" s="10" t="s">
        <v>1100</v>
      </c>
      <c r="S2659" s="11"/>
      <c r="T2659" s="6"/>
      <c r="U2659" s="24" t="str">
        <f>HYPERLINK("https://media.infra-m.ru/2162/2162080/cover/2162080.jpg", "Обложка")</f>
        <v>Обложка</v>
      </c>
      <c r="V2659" s="24" t="str">
        <f>HYPERLINK("https://znanium.ru/catalog/product/2162080", "Ознакомиться")</f>
        <v>Ознакомиться</v>
      </c>
      <c r="W2659" s="8" t="s">
        <v>3846</v>
      </c>
      <c r="X2659" s="6"/>
      <c r="Y2659" s="6"/>
      <c r="Z2659" s="6"/>
      <c r="AA2659" s="6" t="s">
        <v>58</v>
      </c>
      <c r="AB2659" s="8" t="s">
        <v>15054</v>
      </c>
    </row>
    <row r="2660" spans="1:28" s="4" customFormat="1" ht="42" customHeight="1">
      <c r="A2660" s="5">
        <v>0</v>
      </c>
      <c r="B2660" s="6" t="s">
        <v>15055</v>
      </c>
      <c r="C2660" s="7">
        <v>1824</v>
      </c>
      <c r="D2660" s="8" t="s">
        <v>15056</v>
      </c>
      <c r="E2660" s="8" t="s">
        <v>15057</v>
      </c>
      <c r="F2660" s="8" t="s">
        <v>15058</v>
      </c>
      <c r="G2660" s="6" t="s">
        <v>132</v>
      </c>
      <c r="H2660" s="6" t="s">
        <v>99</v>
      </c>
      <c r="I2660" s="8"/>
      <c r="J2660" s="9">
        <v>1</v>
      </c>
      <c r="K2660" s="9">
        <v>304</v>
      </c>
      <c r="L2660" s="9">
        <v>2025</v>
      </c>
      <c r="M2660" s="8" t="s">
        <v>15059</v>
      </c>
      <c r="N2660" s="8" t="s">
        <v>42</v>
      </c>
      <c r="O2660" s="8" t="s">
        <v>101</v>
      </c>
      <c r="P2660" s="6" t="s">
        <v>44</v>
      </c>
      <c r="Q2660" s="8" t="s">
        <v>45</v>
      </c>
      <c r="R2660" s="10" t="s">
        <v>2490</v>
      </c>
      <c r="S2660" s="11"/>
      <c r="T2660" s="6"/>
      <c r="U2660" s="24" t="str">
        <f>HYPERLINK("https://media.infra-m.ru/2185/2185210/cover/2185210.jpg", "Обложка")</f>
        <v>Обложка</v>
      </c>
      <c r="V2660" s="24" t="str">
        <f>HYPERLINK("https://znanium.ru/catalog/product/2185210", "Ознакомиться")</f>
        <v>Ознакомиться</v>
      </c>
      <c r="W2660" s="8" t="s">
        <v>103</v>
      </c>
      <c r="X2660" s="6" t="s">
        <v>3436</v>
      </c>
      <c r="Y2660" s="6"/>
      <c r="Z2660" s="6"/>
      <c r="AA2660" s="6" t="s">
        <v>321</v>
      </c>
      <c r="AB2660" s="8"/>
    </row>
    <row r="2661" spans="1:28" s="4" customFormat="1" ht="42" customHeight="1">
      <c r="A2661" s="5">
        <v>0</v>
      </c>
      <c r="B2661" s="6" t="s">
        <v>15060</v>
      </c>
      <c r="C2661" s="7">
        <v>1480.8</v>
      </c>
      <c r="D2661" s="8" t="s">
        <v>15061</v>
      </c>
      <c r="E2661" s="8" t="s">
        <v>15062</v>
      </c>
      <c r="F2661" s="8" t="s">
        <v>15058</v>
      </c>
      <c r="G2661" s="6" t="s">
        <v>132</v>
      </c>
      <c r="H2661" s="6" t="s">
        <v>99</v>
      </c>
      <c r="I2661" s="8"/>
      <c r="J2661" s="9">
        <v>1</v>
      </c>
      <c r="K2661" s="9">
        <v>272</v>
      </c>
      <c r="L2661" s="9">
        <v>2023</v>
      </c>
      <c r="M2661" s="8" t="s">
        <v>15063</v>
      </c>
      <c r="N2661" s="8" t="s">
        <v>42</v>
      </c>
      <c r="O2661" s="8" t="s">
        <v>101</v>
      </c>
      <c r="P2661" s="6" t="s">
        <v>44</v>
      </c>
      <c r="Q2661" s="8" t="s">
        <v>45</v>
      </c>
      <c r="R2661" s="10" t="s">
        <v>2490</v>
      </c>
      <c r="S2661" s="11"/>
      <c r="T2661" s="6"/>
      <c r="U2661" s="24" t="str">
        <f>HYPERLINK("https://media.infra-m.ru/1978/1978043/cover/1978043.jpg", "Обложка")</f>
        <v>Обложка</v>
      </c>
      <c r="V2661" s="24" t="str">
        <f>HYPERLINK("https://znanium.ru/catalog/product/2185210", "Ознакомиться")</f>
        <v>Ознакомиться</v>
      </c>
      <c r="W2661" s="8" t="s">
        <v>103</v>
      </c>
      <c r="X2661" s="6"/>
      <c r="Y2661" s="6"/>
      <c r="Z2661" s="6"/>
      <c r="AA2661" s="6" t="s">
        <v>369</v>
      </c>
      <c r="AB2661" s="8"/>
    </row>
    <row r="2662" spans="1:28" s="4" customFormat="1" ht="42" customHeight="1">
      <c r="A2662" s="5">
        <v>0</v>
      </c>
      <c r="B2662" s="6" t="s">
        <v>15064</v>
      </c>
      <c r="C2662" s="13">
        <v>712.8</v>
      </c>
      <c r="D2662" s="8" t="s">
        <v>15065</v>
      </c>
      <c r="E2662" s="8" t="s">
        <v>15066</v>
      </c>
      <c r="F2662" s="8" t="s">
        <v>15067</v>
      </c>
      <c r="G2662" s="6" t="s">
        <v>38</v>
      </c>
      <c r="H2662" s="6" t="s">
        <v>39</v>
      </c>
      <c r="I2662" s="8" t="s">
        <v>40</v>
      </c>
      <c r="J2662" s="9">
        <v>1</v>
      </c>
      <c r="K2662" s="9">
        <v>120</v>
      </c>
      <c r="L2662" s="9">
        <v>2023</v>
      </c>
      <c r="M2662" s="8" t="s">
        <v>15068</v>
      </c>
      <c r="N2662" s="8" t="s">
        <v>42</v>
      </c>
      <c r="O2662" s="8" t="s">
        <v>189</v>
      </c>
      <c r="P2662" s="6" t="s">
        <v>44</v>
      </c>
      <c r="Q2662" s="8" t="s">
        <v>45</v>
      </c>
      <c r="R2662" s="10" t="s">
        <v>15069</v>
      </c>
      <c r="S2662" s="11"/>
      <c r="T2662" s="6"/>
      <c r="U2662" s="24" t="str">
        <f>HYPERLINK("https://media.infra-m.ru/2006/2006922/cover/2006922.jpg", "Обложка")</f>
        <v>Обложка</v>
      </c>
      <c r="V2662" s="24" t="str">
        <f>HYPERLINK("https://znanium.ru/catalog/product/2006922", "Ознакомиться")</f>
        <v>Ознакомиться</v>
      </c>
      <c r="W2662" s="8" t="s">
        <v>3715</v>
      </c>
      <c r="X2662" s="6"/>
      <c r="Y2662" s="6"/>
      <c r="Z2662" s="6"/>
      <c r="AA2662" s="6" t="s">
        <v>168</v>
      </c>
      <c r="AB2662" s="8"/>
    </row>
    <row r="2663" spans="1:28" s="4" customFormat="1" ht="51.95" customHeight="1">
      <c r="A2663" s="5">
        <v>0</v>
      </c>
      <c r="B2663" s="6" t="s">
        <v>15070</v>
      </c>
      <c r="C2663" s="7">
        <v>1512</v>
      </c>
      <c r="D2663" s="8" t="s">
        <v>15071</v>
      </c>
      <c r="E2663" s="8" t="s">
        <v>15072</v>
      </c>
      <c r="F2663" s="8" t="s">
        <v>15073</v>
      </c>
      <c r="G2663" s="6" t="s">
        <v>132</v>
      </c>
      <c r="H2663" s="6" t="s">
        <v>39</v>
      </c>
      <c r="I2663" s="8" t="s">
        <v>40</v>
      </c>
      <c r="J2663" s="9">
        <v>1</v>
      </c>
      <c r="K2663" s="9">
        <v>251</v>
      </c>
      <c r="L2663" s="9">
        <v>2024</v>
      </c>
      <c r="M2663" s="8" t="s">
        <v>15074</v>
      </c>
      <c r="N2663" s="8" t="s">
        <v>42</v>
      </c>
      <c r="O2663" s="8" t="s">
        <v>189</v>
      </c>
      <c r="P2663" s="6" t="s">
        <v>44</v>
      </c>
      <c r="Q2663" s="8" t="s">
        <v>607</v>
      </c>
      <c r="R2663" s="10" t="s">
        <v>15075</v>
      </c>
      <c r="S2663" s="11"/>
      <c r="T2663" s="6"/>
      <c r="U2663" s="24" t="str">
        <f>HYPERLINK("https://media.infra-m.ru/2167/2167514/cover/2167514.jpg", "Обложка")</f>
        <v>Обложка</v>
      </c>
      <c r="V2663" s="24" t="str">
        <f>HYPERLINK("https://znanium.ru/catalog/product/2167514", "Ознакомиться")</f>
        <v>Ознакомиться</v>
      </c>
      <c r="W2663" s="8" t="s">
        <v>418</v>
      </c>
      <c r="X2663" s="6"/>
      <c r="Y2663" s="6"/>
      <c r="Z2663" s="6"/>
      <c r="AA2663" s="6" t="s">
        <v>58</v>
      </c>
      <c r="AB2663" s="8"/>
    </row>
    <row r="2664" spans="1:28" s="4" customFormat="1" ht="42" customHeight="1">
      <c r="A2664" s="5">
        <v>0</v>
      </c>
      <c r="B2664" s="6" t="s">
        <v>15076</v>
      </c>
      <c r="C2664" s="7">
        <v>1464</v>
      </c>
      <c r="D2664" s="8" t="s">
        <v>15077</v>
      </c>
      <c r="E2664" s="8" t="s">
        <v>15078</v>
      </c>
      <c r="F2664" s="8" t="s">
        <v>15079</v>
      </c>
      <c r="G2664" s="6" t="s">
        <v>38</v>
      </c>
      <c r="H2664" s="6" t="s">
        <v>39</v>
      </c>
      <c r="I2664" s="8" t="s">
        <v>40</v>
      </c>
      <c r="J2664" s="9">
        <v>1</v>
      </c>
      <c r="K2664" s="9">
        <v>265</v>
      </c>
      <c r="L2664" s="9">
        <v>2024</v>
      </c>
      <c r="M2664" s="8" t="s">
        <v>15080</v>
      </c>
      <c r="N2664" s="8" t="s">
        <v>284</v>
      </c>
      <c r="O2664" s="8" t="s">
        <v>328</v>
      </c>
      <c r="P2664" s="6" t="s">
        <v>44</v>
      </c>
      <c r="Q2664" s="8" t="s">
        <v>45</v>
      </c>
      <c r="R2664" s="10" t="s">
        <v>2825</v>
      </c>
      <c r="S2664" s="11"/>
      <c r="T2664" s="6"/>
      <c r="U2664" s="24" t="str">
        <f>HYPERLINK("https://media.infra-m.ru/2127/2127868/cover/2127868.jpg", "Обложка")</f>
        <v>Обложка</v>
      </c>
      <c r="V2664" s="24" t="str">
        <f>HYPERLINK("https://znanium.ru/catalog/product/2127868", "Ознакомиться")</f>
        <v>Ознакомиться</v>
      </c>
      <c r="W2664" s="8" t="s">
        <v>15081</v>
      </c>
      <c r="X2664" s="6"/>
      <c r="Y2664" s="6"/>
      <c r="Z2664" s="6"/>
      <c r="AA2664" s="6" t="s">
        <v>199</v>
      </c>
      <c r="AB2664" s="8"/>
    </row>
    <row r="2665" spans="1:28" s="4" customFormat="1" ht="51.95" customHeight="1">
      <c r="A2665" s="5">
        <v>0</v>
      </c>
      <c r="B2665" s="6" t="s">
        <v>15082</v>
      </c>
      <c r="C2665" s="7">
        <v>1313.9</v>
      </c>
      <c r="D2665" s="8" t="s">
        <v>15083</v>
      </c>
      <c r="E2665" s="8" t="s">
        <v>15084</v>
      </c>
      <c r="F2665" s="8" t="s">
        <v>1598</v>
      </c>
      <c r="G2665" s="6" t="s">
        <v>132</v>
      </c>
      <c r="H2665" s="6" t="s">
        <v>39</v>
      </c>
      <c r="I2665" s="8" t="s">
        <v>40</v>
      </c>
      <c r="J2665" s="9">
        <v>1</v>
      </c>
      <c r="K2665" s="9">
        <v>312</v>
      </c>
      <c r="L2665" s="9">
        <v>2020</v>
      </c>
      <c r="M2665" s="8" t="s">
        <v>15085</v>
      </c>
      <c r="N2665" s="8" t="s">
        <v>42</v>
      </c>
      <c r="O2665" s="8" t="s">
        <v>65</v>
      </c>
      <c r="P2665" s="6" t="s">
        <v>44</v>
      </c>
      <c r="Q2665" s="8" t="s">
        <v>45</v>
      </c>
      <c r="R2665" s="10" t="s">
        <v>15086</v>
      </c>
      <c r="S2665" s="11"/>
      <c r="T2665" s="6"/>
      <c r="U2665" s="24" t="str">
        <f>HYPERLINK("https://media.infra-m.ru/1047/1047120/cover/1047120.jpg", "Обложка")</f>
        <v>Обложка</v>
      </c>
      <c r="V2665" s="24" t="str">
        <f>HYPERLINK("https://znanium.ru/catalog/product/1047120", "Ознакомиться")</f>
        <v>Ознакомиться</v>
      </c>
      <c r="W2665" s="8" t="s">
        <v>1601</v>
      </c>
      <c r="X2665" s="6"/>
      <c r="Y2665" s="6"/>
      <c r="Z2665" s="6"/>
      <c r="AA2665" s="6" t="s">
        <v>369</v>
      </c>
      <c r="AB2665" s="8"/>
    </row>
    <row r="2666" spans="1:28" s="4" customFormat="1" ht="44.1" customHeight="1">
      <c r="A2666" s="5">
        <v>0</v>
      </c>
      <c r="B2666" s="6" t="s">
        <v>15087</v>
      </c>
      <c r="C2666" s="7">
        <v>3024</v>
      </c>
      <c r="D2666" s="8" t="s">
        <v>15088</v>
      </c>
      <c r="E2666" s="8" t="s">
        <v>15089</v>
      </c>
      <c r="F2666" s="8" t="s">
        <v>15090</v>
      </c>
      <c r="G2666" s="6" t="s">
        <v>132</v>
      </c>
      <c r="H2666" s="6" t="s">
        <v>39</v>
      </c>
      <c r="I2666" s="8" t="s">
        <v>164</v>
      </c>
      <c r="J2666" s="9">
        <v>1</v>
      </c>
      <c r="K2666" s="9">
        <v>485</v>
      </c>
      <c r="L2666" s="9">
        <v>2025</v>
      </c>
      <c r="M2666" s="8" t="s">
        <v>15091</v>
      </c>
      <c r="N2666" s="8" t="s">
        <v>229</v>
      </c>
      <c r="O2666" s="8" t="s">
        <v>230</v>
      </c>
      <c r="P2666" s="6" t="s">
        <v>44</v>
      </c>
      <c r="Q2666" s="8" t="s">
        <v>45</v>
      </c>
      <c r="R2666" s="10" t="s">
        <v>190</v>
      </c>
      <c r="S2666" s="11"/>
      <c r="T2666" s="6"/>
      <c r="U2666" s="24" t="str">
        <f>HYPERLINK("https://media.infra-m.ru/2196/2196499/cover/2196499.jpg", "Обложка")</f>
        <v>Обложка</v>
      </c>
      <c r="V2666" s="24" t="str">
        <f>HYPERLINK("https://znanium.ru/catalog/product/2196499", "Ознакомиться")</f>
        <v>Ознакомиться</v>
      </c>
      <c r="W2666" s="8" t="s">
        <v>167</v>
      </c>
      <c r="X2666" s="6"/>
      <c r="Y2666" s="6"/>
      <c r="Z2666" s="6"/>
      <c r="AA2666" s="6" t="s">
        <v>119</v>
      </c>
      <c r="AB2666" s="8" t="s">
        <v>1697</v>
      </c>
    </row>
    <row r="2667" spans="1:28" s="4" customFormat="1" ht="42" customHeight="1">
      <c r="A2667" s="5">
        <v>0</v>
      </c>
      <c r="B2667" s="6" t="s">
        <v>15092</v>
      </c>
      <c r="C2667" s="7">
        <v>1680</v>
      </c>
      <c r="D2667" s="8" t="s">
        <v>15093</v>
      </c>
      <c r="E2667" s="8" t="s">
        <v>15094</v>
      </c>
      <c r="F2667" s="8" t="s">
        <v>15095</v>
      </c>
      <c r="G2667" s="6" t="s">
        <v>132</v>
      </c>
      <c r="H2667" s="6" t="s">
        <v>39</v>
      </c>
      <c r="I2667" s="8" t="s">
        <v>40</v>
      </c>
      <c r="J2667" s="9">
        <v>1</v>
      </c>
      <c r="K2667" s="9">
        <v>311</v>
      </c>
      <c r="L2667" s="9">
        <v>2022</v>
      </c>
      <c r="M2667" s="8" t="s">
        <v>15096</v>
      </c>
      <c r="N2667" s="8" t="s">
        <v>42</v>
      </c>
      <c r="O2667" s="8" t="s">
        <v>189</v>
      </c>
      <c r="P2667" s="6" t="s">
        <v>44</v>
      </c>
      <c r="Q2667" s="8" t="s">
        <v>45</v>
      </c>
      <c r="R2667" s="10" t="s">
        <v>573</v>
      </c>
      <c r="S2667" s="11"/>
      <c r="T2667" s="6"/>
      <c r="U2667" s="24" t="str">
        <f>HYPERLINK("https://media.infra-m.ru/1864/1864513/cover/1864513.jpg", "Обложка")</f>
        <v>Обложка</v>
      </c>
      <c r="V2667" s="24" t="str">
        <f>HYPERLINK("https://znanium.ru/catalog/product/1864513", "Ознакомиться")</f>
        <v>Ознакомиться</v>
      </c>
      <c r="W2667" s="8" t="s">
        <v>3846</v>
      </c>
      <c r="X2667" s="6"/>
      <c r="Y2667" s="6"/>
      <c r="Z2667" s="6"/>
      <c r="AA2667" s="6" t="s">
        <v>111</v>
      </c>
      <c r="AB2667" s="8"/>
    </row>
    <row r="2668" spans="1:28" s="4" customFormat="1" ht="44.1" customHeight="1">
      <c r="A2668" s="5">
        <v>0</v>
      </c>
      <c r="B2668" s="6" t="s">
        <v>15097</v>
      </c>
      <c r="C2668" s="7">
        <v>1740</v>
      </c>
      <c r="D2668" s="8" t="s">
        <v>15098</v>
      </c>
      <c r="E2668" s="8" t="s">
        <v>15099</v>
      </c>
      <c r="F2668" s="8" t="s">
        <v>15100</v>
      </c>
      <c r="G2668" s="6" t="s">
        <v>132</v>
      </c>
      <c r="H2668" s="6" t="s">
        <v>39</v>
      </c>
      <c r="I2668" s="8" t="s">
        <v>40</v>
      </c>
      <c r="J2668" s="9">
        <v>1</v>
      </c>
      <c r="K2668" s="9">
        <v>307</v>
      </c>
      <c r="L2668" s="9">
        <v>2023</v>
      </c>
      <c r="M2668" s="8" t="s">
        <v>15101</v>
      </c>
      <c r="N2668" s="8" t="s">
        <v>42</v>
      </c>
      <c r="O2668" s="8" t="s">
        <v>189</v>
      </c>
      <c r="P2668" s="6" t="s">
        <v>44</v>
      </c>
      <c r="Q2668" s="8" t="s">
        <v>45</v>
      </c>
      <c r="R2668" s="10" t="s">
        <v>15102</v>
      </c>
      <c r="S2668" s="11"/>
      <c r="T2668" s="6"/>
      <c r="U2668" s="24" t="str">
        <f>HYPERLINK("https://media.infra-m.ru/2001/2001727/cover/2001727.jpg", "Обложка")</f>
        <v>Обложка</v>
      </c>
      <c r="V2668" s="24" t="str">
        <f>HYPERLINK("https://znanium.ru/catalog/product/2001727", "Ознакомиться")</f>
        <v>Ознакомиться</v>
      </c>
      <c r="W2668" s="8" t="s">
        <v>346</v>
      </c>
      <c r="X2668" s="6"/>
      <c r="Y2668" s="6"/>
      <c r="Z2668" s="6"/>
      <c r="AA2668" s="6" t="s">
        <v>119</v>
      </c>
      <c r="AB2668" s="8"/>
    </row>
    <row r="2669" spans="1:28" s="4" customFormat="1" ht="51.95" customHeight="1">
      <c r="A2669" s="5">
        <v>0</v>
      </c>
      <c r="B2669" s="6" t="s">
        <v>15103</v>
      </c>
      <c r="C2669" s="7">
        <v>1056</v>
      </c>
      <c r="D2669" s="8" t="s">
        <v>15104</v>
      </c>
      <c r="E2669" s="8" t="s">
        <v>15105</v>
      </c>
      <c r="F2669" s="8" t="s">
        <v>15106</v>
      </c>
      <c r="G2669" s="6" t="s">
        <v>132</v>
      </c>
      <c r="H2669" s="6" t="s">
        <v>39</v>
      </c>
      <c r="I2669" s="8" t="s">
        <v>40</v>
      </c>
      <c r="J2669" s="9">
        <v>1</v>
      </c>
      <c r="K2669" s="9">
        <v>187</v>
      </c>
      <c r="L2669" s="9">
        <v>2024</v>
      </c>
      <c r="M2669" s="8" t="s">
        <v>15107</v>
      </c>
      <c r="N2669" s="8" t="s">
        <v>42</v>
      </c>
      <c r="O2669" s="8" t="s">
        <v>1035</v>
      </c>
      <c r="P2669" s="6" t="s">
        <v>44</v>
      </c>
      <c r="Q2669" s="8" t="s">
        <v>45</v>
      </c>
      <c r="R2669" s="10" t="s">
        <v>15108</v>
      </c>
      <c r="S2669" s="11"/>
      <c r="T2669" s="6"/>
      <c r="U2669" s="24" t="str">
        <f>HYPERLINK("https://media.infra-m.ru/2082/2082654/cover/2082654.jpg", "Обложка")</f>
        <v>Обложка</v>
      </c>
      <c r="V2669" s="24" t="str">
        <f>HYPERLINK("https://znanium.ru/catalog/product/2082654", "Ознакомиться")</f>
        <v>Ознакомиться</v>
      </c>
      <c r="W2669" s="8" t="s">
        <v>207</v>
      </c>
      <c r="X2669" s="6"/>
      <c r="Y2669" s="6"/>
      <c r="Z2669" s="6"/>
      <c r="AA2669" s="6" t="s">
        <v>58</v>
      </c>
      <c r="AB2669" s="8"/>
    </row>
    <row r="2670" spans="1:28" s="4" customFormat="1" ht="42" customHeight="1">
      <c r="A2670" s="5">
        <v>0</v>
      </c>
      <c r="B2670" s="6" t="s">
        <v>15109</v>
      </c>
      <c r="C2670" s="7">
        <v>1088.3</v>
      </c>
      <c r="D2670" s="8" t="s">
        <v>15110</v>
      </c>
      <c r="E2670" s="8" t="s">
        <v>15111</v>
      </c>
      <c r="F2670" s="8" t="s">
        <v>15112</v>
      </c>
      <c r="G2670" s="6" t="s">
        <v>132</v>
      </c>
      <c r="H2670" s="6" t="s">
        <v>99</v>
      </c>
      <c r="I2670" s="8"/>
      <c r="J2670" s="9">
        <v>1</v>
      </c>
      <c r="K2670" s="9">
        <v>232</v>
      </c>
      <c r="L2670" s="9">
        <v>2020</v>
      </c>
      <c r="M2670" s="8" t="s">
        <v>15113</v>
      </c>
      <c r="N2670" s="8" t="s">
        <v>42</v>
      </c>
      <c r="O2670" s="8" t="s">
        <v>101</v>
      </c>
      <c r="P2670" s="6" t="s">
        <v>44</v>
      </c>
      <c r="Q2670" s="8" t="s">
        <v>45</v>
      </c>
      <c r="R2670" s="10" t="s">
        <v>269</v>
      </c>
      <c r="S2670" s="11"/>
      <c r="T2670" s="6"/>
      <c r="U2670" s="24" t="str">
        <f>HYPERLINK("https://media.infra-m.ru/1088/1088383/cover/1088383.jpg", "Обложка")</f>
        <v>Обложка</v>
      </c>
      <c r="V2670" s="24" t="str">
        <f>HYPERLINK("https://znanium.ru/catalog/product/1068651", "Ознакомиться")</f>
        <v>Ознакомиться</v>
      </c>
      <c r="W2670" s="8" t="s">
        <v>3378</v>
      </c>
      <c r="X2670" s="6"/>
      <c r="Y2670" s="6"/>
      <c r="Z2670" s="6"/>
      <c r="AA2670" s="6" t="s">
        <v>168</v>
      </c>
      <c r="AB2670" s="8"/>
    </row>
    <row r="2671" spans="1:28" s="4" customFormat="1" ht="51.95" customHeight="1">
      <c r="A2671" s="5">
        <v>0</v>
      </c>
      <c r="B2671" s="6" t="s">
        <v>15114</v>
      </c>
      <c r="C2671" s="7">
        <v>1236</v>
      </c>
      <c r="D2671" s="8" t="s">
        <v>15115</v>
      </c>
      <c r="E2671" s="8" t="s">
        <v>15116</v>
      </c>
      <c r="F2671" s="8" t="s">
        <v>15117</v>
      </c>
      <c r="G2671" s="6" t="s">
        <v>38</v>
      </c>
      <c r="H2671" s="6" t="s">
        <v>39</v>
      </c>
      <c r="I2671" s="8" t="s">
        <v>40</v>
      </c>
      <c r="J2671" s="9">
        <v>1</v>
      </c>
      <c r="K2671" s="9">
        <v>184</v>
      </c>
      <c r="L2671" s="9">
        <v>2026</v>
      </c>
      <c r="M2671" s="8" t="s">
        <v>15118</v>
      </c>
      <c r="N2671" s="8" t="s">
        <v>42</v>
      </c>
      <c r="O2671" s="8" t="s">
        <v>65</v>
      </c>
      <c r="P2671" s="6" t="s">
        <v>44</v>
      </c>
      <c r="Q2671" s="8" t="s">
        <v>45</v>
      </c>
      <c r="R2671" s="10" t="s">
        <v>390</v>
      </c>
      <c r="S2671" s="11"/>
      <c r="T2671" s="6"/>
      <c r="U2671" s="24" t="str">
        <f>HYPERLINK("https://media.infra-m.ru/2219/2219023/cover/2219023.jpg", "Обложка")</f>
        <v>Обложка</v>
      </c>
      <c r="V2671" s="24" t="str">
        <f>HYPERLINK("https://znanium.ru/catalog/product/2219023", "Ознакомиться")</f>
        <v>Ознакомиться</v>
      </c>
      <c r="W2671" s="8" t="s">
        <v>15119</v>
      </c>
      <c r="X2671" s="6"/>
      <c r="Y2671" s="6"/>
      <c r="Z2671" s="6"/>
      <c r="AA2671" s="6" t="s">
        <v>159</v>
      </c>
      <c r="AB2671" s="8"/>
    </row>
    <row r="2672" spans="1:28" s="4" customFormat="1" ht="51.95" customHeight="1">
      <c r="A2672" s="5">
        <v>0</v>
      </c>
      <c r="B2672" s="6" t="s">
        <v>15120</v>
      </c>
      <c r="C2672" s="7">
        <v>2008.8</v>
      </c>
      <c r="D2672" s="8" t="s">
        <v>15121</v>
      </c>
      <c r="E2672" s="8" t="s">
        <v>15122</v>
      </c>
      <c r="F2672" s="8" t="s">
        <v>15123</v>
      </c>
      <c r="G2672" s="6" t="s">
        <v>81</v>
      </c>
      <c r="H2672" s="6" t="s">
        <v>39</v>
      </c>
      <c r="I2672" s="8" t="s">
        <v>828</v>
      </c>
      <c r="J2672" s="9">
        <v>1</v>
      </c>
      <c r="K2672" s="9">
        <v>323</v>
      </c>
      <c r="L2672" s="9">
        <v>2026</v>
      </c>
      <c r="M2672" s="8" t="s">
        <v>15124</v>
      </c>
      <c r="N2672" s="8" t="s">
        <v>42</v>
      </c>
      <c r="O2672" s="8" t="s">
        <v>101</v>
      </c>
      <c r="P2672" s="6" t="s">
        <v>659</v>
      </c>
      <c r="Q2672" s="8" t="s">
        <v>45</v>
      </c>
      <c r="R2672" s="10" t="s">
        <v>261</v>
      </c>
      <c r="S2672" s="11"/>
      <c r="T2672" s="6"/>
      <c r="U2672" s="24" t="str">
        <f>HYPERLINK("https://media.infra-m.ru/2215/2215642/cover/2215642.jpg", "Обложка")</f>
        <v>Обложка</v>
      </c>
      <c r="V2672" s="24" t="str">
        <f>HYPERLINK("https://znanium.ru/catalog/product/1874261", "Ознакомиться")</f>
        <v>Ознакомиться</v>
      </c>
      <c r="W2672" s="8" t="s">
        <v>11208</v>
      </c>
      <c r="X2672" s="6"/>
      <c r="Y2672" s="6"/>
      <c r="Z2672" s="6"/>
      <c r="AA2672" s="6" t="s">
        <v>119</v>
      </c>
      <c r="AB2672" s="8"/>
    </row>
    <row r="2673" spans="1:28" s="4" customFormat="1" ht="42" customHeight="1">
      <c r="A2673" s="5">
        <v>0</v>
      </c>
      <c r="B2673" s="6" t="s">
        <v>15125</v>
      </c>
      <c r="C2673" s="7">
        <v>1716</v>
      </c>
      <c r="D2673" s="8" t="s">
        <v>15126</v>
      </c>
      <c r="E2673" s="8" t="s">
        <v>15127</v>
      </c>
      <c r="F2673" s="8" t="s">
        <v>15128</v>
      </c>
      <c r="G2673" s="6" t="s">
        <v>38</v>
      </c>
      <c r="H2673" s="6" t="s">
        <v>39</v>
      </c>
      <c r="I2673" s="8" t="s">
        <v>40</v>
      </c>
      <c r="J2673" s="9">
        <v>1</v>
      </c>
      <c r="K2673" s="9">
        <v>306</v>
      </c>
      <c r="L2673" s="9">
        <v>2021</v>
      </c>
      <c r="M2673" s="8" t="s">
        <v>15129</v>
      </c>
      <c r="N2673" s="8" t="s">
        <v>284</v>
      </c>
      <c r="O2673" s="8" t="s">
        <v>482</v>
      </c>
      <c r="P2673" s="6" t="s">
        <v>44</v>
      </c>
      <c r="Q2673" s="8" t="s">
        <v>45</v>
      </c>
      <c r="R2673" s="10" t="s">
        <v>15130</v>
      </c>
      <c r="S2673" s="11"/>
      <c r="T2673" s="6"/>
      <c r="U2673" s="24" t="str">
        <f>HYPERLINK("https://media.infra-m.ru/1154/1154383/cover/1154383.jpg", "Обложка")</f>
        <v>Обложка</v>
      </c>
      <c r="V2673" s="24" t="str">
        <f>HYPERLINK("https://znanium.ru/catalog/product/1154383", "Ознакомиться")</f>
        <v>Ознакомиться</v>
      </c>
      <c r="W2673" s="8" t="s">
        <v>15131</v>
      </c>
      <c r="X2673" s="6"/>
      <c r="Y2673" s="6"/>
      <c r="Z2673" s="6"/>
      <c r="AA2673" s="6" t="s">
        <v>199</v>
      </c>
      <c r="AB2673" s="8"/>
    </row>
    <row r="2674" spans="1:28" s="4" customFormat="1" ht="42" customHeight="1">
      <c r="A2674" s="5">
        <v>0</v>
      </c>
      <c r="B2674" s="6" t="s">
        <v>15132</v>
      </c>
      <c r="C2674" s="13">
        <v>696</v>
      </c>
      <c r="D2674" s="8" t="s">
        <v>15133</v>
      </c>
      <c r="E2674" s="8" t="s">
        <v>15134</v>
      </c>
      <c r="F2674" s="8" t="s">
        <v>15135</v>
      </c>
      <c r="G2674" s="6" t="s">
        <v>38</v>
      </c>
      <c r="H2674" s="6" t="s">
        <v>39</v>
      </c>
      <c r="I2674" s="8" t="s">
        <v>40</v>
      </c>
      <c r="J2674" s="9">
        <v>1</v>
      </c>
      <c r="K2674" s="9">
        <v>106</v>
      </c>
      <c r="L2674" s="9">
        <v>2025</v>
      </c>
      <c r="M2674" s="8" t="s">
        <v>15136</v>
      </c>
      <c r="N2674" s="8" t="s">
        <v>42</v>
      </c>
      <c r="O2674" s="8" t="s">
        <v>1002</v>
      </c>
      <c r="P2674" s="6" t="s">
        <v>44</v>
      </c>
      <c r="Q2674" s="8" t="s">
        <v>45</v>
      </c>
      <c r="R2674" s="10" t="s">
        <v>7838</v>
      </c>
      <c r="S2674" s="11"/>
      <c r="T2674" s="6"/>
      <c r="U2674" s="24" t="str">
        <f>HYPERLINK("https://media.infra-m.ru/2206/2206265/cover/2206265.jpg", "Обложка")</f>
        <v>Обложка</v>
      </c>
      <c r="V2674" s="24" t="str">
        <f>HYPERLINK("https://znanium.ru/catalog/product/2206265", "Ознакомиться")</f>
        <v>Ознакомиться</v>
      </c>
      <c r="W2674" s="8" t="s">
        <v>346</v>
      </c>
      <c r="X2674" s="6"/>
      <c r="Y2674" s="6"/>
      <c r="Z2674" s="6"/>
      <c r="AA2674" s="6" t="s">
        <v>369</v>
      </c>
      <c r="AB2674" s="8"/>
    </row>
    <row r="2675" spans="1:28" s="4" customFormat="1" ht="51.95" customHeight="1">
      <c r="A2675" s="5">
        <v>0</v>
      </c>
      <c r="B2675" s="6" t="s">
        <v>15137</v>
      </c>
      <c r="C2675" s="7">
        <v>1480.8</v>
      </c>
      <c r="D2675" s="8" t="s">
        <v>15138</v>
      </c>
      <c r="E2675" s="8" t="s">
        <v>15139</v>
      </c>
      <c r="F2675" s="8" t="s">
        <v>15140</v>
      </c>
      <c r="G2675" s="6" t="s">
        <v>81</v>
      </c>
      <c r="H2675" s="6" t="s">
        <v>39</v>
      </c>
      <c r="I2675" s="8" t="s">
        <v>40</v>
      </c>
      <c r="J2675" s="9">
        <v>1</v>
      </c>
      <c r="K2675" s="9">
        <v>237</v>
      </c>
      <c r="L2675" s="9">
        <v>2025</v>
      </c>
      <c r="M2675" s="8" t="s">
        <v>15141</v>
      </c>
      <c r="N2675" s="8" t="s">
        <v>42</v>
      </c>
      <c r="O2675" s="8" t="s">
        <v>65</v>
      </c>
      <c r="P2675" s="6" t="s">
        <v>44</v>
      </c>
      <c r="Q2675" s="8" t="s">
        <v>45</v>
      </c>
      <c r="R2675" s="10" t="s">
        <v>15142</v>
      </c>
      <c r="S2675" s="11"/>
      <c r="T2675" s="6"/>
      <c r="U2675" s="24" t="str">
        <f>HYPERLINK("https://media.infra-m.ru/2198/2198347/cover/2198347.jpg", "Обложка")</f>
        <v>Обложка</v>
      </c>
      <c r="V2675" s="24" t="str">
        <f>HYPERLINK("https://znanium.ru/catalog/product/2116739", "Ознакомиться")</f>
        <v>Ознакомиться</v>
      </c>
      <c r="W2675" s="8" t="s">
        <v>810</v>
      </c>
      <c r="X2675" s="6"/>
      <c r="Y2675" s="6"/>
      <c r="Z2675" s="6"/>
      <c r="AA2675" s="6" t="s">
        <v>119</v>
      </c>
      <c r="AB2675" s="8" t="s">
        <v>613</v>
      </c>
    </row>
    <row r="2676" spans="1:28" s="4" customFormat="1" ht="44.1" customHeight="1">
      <c r="A2676" s="5">
        <v>0</v>
      </c>
      <c r="B2676" s="6" t="s">
        <v>15143</v>
      </c>
      <c r="C2676" s="7">
        <v>1320</v>
      </c>
      <c r="D2676" s="8" t="s">
        <v>15144</v>
      </c>
      <c r="E2676" s="8" t="s">
        <v>15145</v>
      </c>
      <c r="F2676" s="8" t="s">
        <v>15146</v>
      </c>
      <c r="G2676" s="6" t="s">
        <v>81</v>
      </c>
      <c r="H2676" s="6" t="s">
        <v>39</v>
      </c>
      <c r="I2676" s="8" t="s">
        <v>237</v>
      </c>
      <c r="J2676" s="9">
        <v>1</v>
      </c>
      <c r="K2676" s="9">
        <v>200</v>
      </c>
      <c r="L2676" s="9">
        <v>2025</v>
      </c>
      <c r="M2676" s="8" t="s">
        <v>15147</v>
      </c>
      <c r="N2676" s="8" t="s">
        <v>284</v>
      </c>
      <c r="O2676" s="8" t="s">
        <v>328</v>
      </c>
      <c r="P2676" s="6" t="s">
        <v>1195</v>
      </c>
      <c r="Q2676" s="8" t="s">
        <v>287</v>
      </c>
      <c r="R2676" s="10" t="s">
        <v>15148</v>
      </c>
      <c r="S2676" s="11"/>
      <c r="T2676" s="6"/>
      <c r="U2676" s="24" t="str">
        <f>HYPERLINK("https://media.infra-m.ru/2224/2224334/cover/2224334.jpg", "Обложка")</f>
        <v>Обложка</v>
      </c>
      <c r="V2676" s="24" t="str">
        <f>HYPERLINK("https://znanium.ru/catalog/product/2224334", "Ознакомиться")</f>
        <v>Ознакомиться</v>
      </c>
      <c r="W2676" s="8" t="s">
        <v>5222</v>
      </c>
      <c r="X2676" s="6"/>
      <c r="Y2676" s="6"/>
      <c r="Z2676" s="6"/>
      <c r="AA2676" s="6" t="s">
        <v>199</v>
      </c>
      <c r="AB2676" s="8"/>
    </row>
    <row r="2677" spans="1:28" s="4" customFormat="1" ht="42" customHeight="1">
      <c r="A2677" s="5">
        <v>0</v>
      </c>
      <c r="B2677" s="6" t="s">
        <v>15149</v>
      </c>
      <c r="C2677" s="7">
        <v>1860</v>
      </c>
      <c r="D2677" s="8" t="s">
        <v>15150</v>
      </c>
      <c r="E2677" s="8" t="s">
        <v>15151</v>
      </c>
      <c r="F2677" s="8" t="s">
        <v>13928</v>
      </c>
      <c r="G2677" s="6" t="s">
        <v>38</v>
      </c>
      <c r="H2677" s="6" t="s">
        <v>39</v>
      </c>
      <c r="I2677" s="8" t="s">
        <v>40</v>
      </c>
      <c r="J2677" s="9">
        <v>1</v>
      </c>
      <c r="K2677" s="9">
        <v>336</v>
      </c>
      <c r="L2677" s="9">
        <v>2024</v>
      </c>
      <c r="M2677" s="8" t="s">
        <v>15152</v>
      </c>
      <c r="N2677" s="8" t="s">
        <v>284</v>
      </c>
      <c r="O2677" s="8" t="s">
        <v>285</v>
      </c>
      <c r="P2677" s="6" t="s">
        <v>44</v>
      </c>
      <c r="Q2677" s="8" t="s">
        <v>45</v>
      </c>
      <c r="R2677" s="10" t="s">
        <v>2837</v>
      </c>
      <c r="S2677" s="11"/>
      <c r="T2677" s="6"/>
      <c r="U2677" s="24" t="str">
        <f>HYPERLINK("https://media.infra-m.ru/2126/2126856/cover/2126856.jpg", "Обложка")</f>
        <v>Обложка</v>
      </c>
      <c r="V2677" s="24" t="str">
        <f>HYPERLINK("https://znanium.ru/catalog/product/2126856", "Ознакомиться")</f>
        <v>Ознакомиться</v>
      </c>
      <c r="W2677" s="8" t="s">
        <v>13930</v>
      </c>
      <c r="X2677" s="6"/>
      <c r="Y2677" s="6"/>
      <c r="Z2677" s="6"/>
      <c r="AA2677" s="6" t="s">
        <v>68</v>
      </c>
      <c r="AB2677" s="8"/>
    </row>
    <row r="2678" spans="1:28" s="4" customFormat="1" ht="51.95" customHeight="1">
      <c r="A2678" s="5">
        <v>0</v>
      </c>
      <c r="B2678" s="6" t="s">
        <v>15153</v>
      </c>
      <c r="C2678" s="13">
        <v>629.9</v>
      </c>
      <c r="D2678" s="8" t="s">
        <v>15154</v>
      </c>
      <c r="E2678" s="8" t="s">
        <v>15155</v>
      </c>
      <c r="F2678" s="8" t="s">
        <v>12948</v>
      </c>
      <c r="G2678" s="6" t="s">
        <v>132</v>
      </c>
      <c r="H2678" s="6" t="s">
        <v>39</v>
      </c>
      <c r="I2678" s="8"/>
      <c r="J2678" s="9">
        <v>1</v>
      </c>
      <c r="K2678" s="9">
        <v>424</v>
      </c>
      <c r="L2678" s="9">
        <v>2023</v>
      </c>
      <c r="M2678" s="8" t="s">
        <v>15156</v>
      </c>
      <c r="N2678" s="8" t="s">
        <v>42</v>
      </c>
      <c r="O2678" s="8" t="s">
        <v>189</v>
      </c>
      <c r="P2678" s="6" t="s">
        <v>44</v>
      </c>
      <c r="Q2678" s="8" t="s">
        <v>3762</v>
      </c>
      <c r="R2678" s="10" t="s">
        <v>15157</v>
      </c>
      <c r="S2678" s="11"/>
      <c r="T2678" s="6"/>
      <c r="U2678" s="24" t="str">
        <f>HYPERLINK("https://media.infra-m.ru/2030/2030882/cover/2030882.jpg", "Обложка")</f>
        <v>Обложка</v>
      </c>
      <c r="V2678" s="24" t="str">
        <f>HYPERLINK("https://znanium.ru/catalog/product/1247124", "Ознакомиться")</f>
        <v>Ознакомиться</v>
      </c>
      <c r="W2678" s="8" t="s">
        <v>361</v>
      </c>
      <c r="X2678" s="6"/>
      <c r="Y2678" s="6"/>
      <c r="Z2678" s="6"/>
      <c r="AA2678" s="6" t="s">
        <v>68</v>
      </c>
      <c r="AB2678" s="8"/>
    </row>
    <row r="2679" spans="1:28" s="4" customFormat="1" ht="44.1" customHeight="1">
      <c r="A2679" s="5">
        <v>0</v>
      </c>
      <c r="B2679" s="6" t="s">
        <v>15158</v>
      </c>
      <c r="C2679" s="13">
        <v>972</v>
      </c>
      <c r="D2679" s="8" t="s">
        <v>15159</v>
      </c>
      <c r="E2679" s="8" t="s">
        <v>15160</v>
      </c>
      <c r="F2679" s="8" t="s">
        <v>163</v>
      </c>
      <c r="G2679" s="6" t="s">
        <v>38</v>
      </c>
      <c r="H2679" s="6" t="s">
        <v>39</v>
      </c>
      <c r="I2679" s="8" t="s">
        <v>164</v>
      </c>
      <c r="J2679" s="9">
        <v>1</v>
      </c>
      <c r="K2679" s="9">
        <v>147</v>
      </c>
      <c r="L2679" s="9">
        <v>2026</v>
      </c>
      <c r="M2679" s="8" t="s">
        <v>15161</v>
      </c>
      <c r="N2679" s="8" t="s">
        <v>42</v>
      </c>
      <c r="O2679" s="8" t="s">
        <v>65</v>
      </c>
      <c r="P2679" s="6" t="s">
        <v>44</v>
      </c>
      <c r="Q2679" s="8" t="s">
        <v>45</v>
      </c>
      <c r="R2679" s="10" t="s">
        <v>15162</v>
      </c>
      <c r="S2679" s="11"/>
      <c r="T2679" s="6"/>
      <c r="U2679" s="24" t="str">
        <f>HYPERLINK("https://media.infra-m.ru/2227/2227949/cover/2227949.jpg", "Обложка")</f>
        <v>Обложка</v>
      </c>
      <c r="V2679" s="24" t="str">
        <f>HYPERLINK("https://znanium.ru/catalog/product/2227949", "Ознакомиться")</f>
        <v>Ознакомиться</v>
      </c>
      <c r="W2679" s="8" t="s">
        <v>167</v>
      </c>
      <c r="X2679" s="6"/>
      <c r="Y2679" s="6"/>
      <c r="Z2679" s="6"/>
      <c r="AA2679" s="6" t="s">
        <v>68</v>
      </c>
      <c r="AB2679" s="8"/>
    </row>
    <row r="2680" spans="1:28" s="4" customFormat="1" ht="44.1" customHeight="1">
      <c r="A2680" s="5">
        <v>0</v>
      </c>
      <c r="B2680" s="6" t="s">
        <v>15163</v>
      </c>
      <c r="C2680" s="7">
        <v>1728</v>
      </c>
      <c r="D2680" s="8" t="s">
        <v>15164</v>
      </c>
      <c r="E2680" s="8" t="s">
        <v>15165</v>
      </c>
      <c r="F2680" s="8" t="s">
        <v>949</v>
      </c>
      <c r="G2680" s="6" t="s">
        <v>38</v>
      </c>
      <c r="H2680" s="6" t="s">
        <v>39</v>
      </c>
      <c r="I2680" s="8" t="s">
        <v>40</v>
      </c>
      <c r="J2680" s="9">
        <v>1</v>
      </c>
      <c r="K2680" s="9">
        <v>320</v>
      </c>
      <c r="L2680" s="9">
        <v>2023</v>
      </c>
      <c r="M2680" s="8" t="s">
        <v>15166</v>
      </c>
      <c r="N2680" s="8" t="s">
        <v>42</v>
      </c>
      <c r="O2680" s="8" t="s">
        <v>65</v>
      </c>
      <c r="P2680" s="6" t="s">
        <v>44</v>
      </c>
      <c r="Q2680" s="8" t="s">
        <v>45</v>
      </c>
      <c r="R2680" s="10" t="s">
        <v>15167</v>
      </c>
      <c r="S2680" s="11"/>
      <c r="T2680" s="6"/>
      <c r="U2680" s="24" t="str">
        <f>HYPERLINK("https://media.infra-m.ru/1912/1912404/cover/1912404.jpg", "Обложка")</f>
        <v>Обложка</v>
      </c>
      <c r="V2680" s="24" t="str">
        <f>HYPERLINK("https://znanium.ru/catalog/product/1912404", "Ознакомиться")</f>
        <v>Ознакомиться</v>
      </c>
      <c r="W2680" s="8" t="s">
        <v>868</v>
      </c>
      <c r="X2680" s="6"/>
      <c r="Y2680" s="6"/>
      <c r="Z2680" s="6"/>
      <c r="AA2680" s="6" t="s">
        <v>76</v>
      </c>
      <c r="AB2680" s="8"/>
    </row>
    <row r="2681" spans="1:28" s="4" customFormat="1" ht="42" customHeight="1">
      <c r="A2681" s="5">
        <v>0</v>
      </c>
      <c r="B2681" s="6" t="s">
        <v>15168</v>
      </c>
      <c r="C2681" s="7">
        <v>1888.8</v>
      </c>
      <c r="D2681" s="8" t="s">
        <v>15169</v>
      </c>
      <c r="E2681" s="8" t="s">
        <v>15170</v>
      </c>
      <c r="F2681" s="8" t="s">
        <v>949</v>
      </c>
      <c r="G2681" s="6" t="s">
        <v>132</v>
      </c>
      <c r="H2681" s="6" t="s">
        <v>39</v>
      </c>
      <c r="I2681" s="8" t="s">
        <v>40</v>
      </c>
      <c r="J2681" s="9">
        <v>1</v>
      </c>
      <c r="K2681" s="9">
        <v>348</v>
      </c>
      <c r="L2681" s="9">
        <v>2023</v>
      </c>
      <c r="M2681" s="8" t="s">
        <v>15171</v>
      </c>
      <c r="N2681" s="8" t="s">
        <v>54</v>
      </c>
      <c r="O2681" s="8" t="s">
        <v>91</v>
      </c>
      <c r="P2681" s="6" t="s">
        <v>44</v>
      </c>
      <c r="Q2681" s="8" t="s">
        <v>45</v>
      </c>
      <c r="R2681" s="10" t="s">
        <v>197</v>
      </c>
      <c r="S2681" s="11"/>
      <c r="T2681" s="6"/>
      <c r="U2681" s="24" t="str">
        <f>HYPERLINK("https://media.infra-m.ru/2030/2030880/cover/2030880.jpg", "Обложка")</f>
        <v>Обложка</v>
      </c>
      <c r="V2681" s="24" t="str">
        <f>HYPERLINK("https://znanium.ru/catalog/product/995428", "Ознакомиться")</f>
        <v>Ознакомиться</v>
      </c>
      <c r="W2681" s="8" t="s">
        <v>868</v>
      </c>
      <c r="X2681" s="6"/>
      <c r="Y2681" s="6"/>
      <c r="Z2681" s="6"/>
      <c r="AA2681" s="6" t="s">
        <v>177</v>
      </c>
      <c r="AB2681" s="8"/>
    </row>
    <row r="2682" spans="1:28" s="4" customFormat="1" ht="42" customHeight="1">
      <c r="A2682" s="5">
        <v>0</v>
      </c>
      <c r="B2682" s="6" t="s">
        <v>15172</v>
      </c>
      <c r="C2682" s="13">
        <v>768</v>
      </c>
      <c r="D2682" s="8" t="s">
        <v>15173</v>
      </c>
      <c r="E2682" s="8" t="s">
        <v>15174</v>
      </c>
      <c r="F2682" s="8" t="s">
        <v>15175</v>
      </c>
      <c r="G2682" s="6" t="s">
        <v>38</v>
      </c>
      <c r="H2682" s="6" t="s">
        <v>39</v>
      </c>
      <c r="I2682" s="8" t="s">
        <v>40</v>
      </c>
      <c r="J2682" s="9">
        <v>1</v>
      </c>
      <c r="K2682" s="9">
        <v>111</v>
      </c>
      <c r="L2682" s="9">
        <v>2026</v>
      </c>
      <c r="M2682" s="8" t="s">
        <v>15176</v>
      </c>
      <c r="N2682" s="8" t="s">
        <v>42</v>
      </c>
      <c r="O2682" s="8" t="s">
        <v>246</v>
      </c>
      <c r="P2682" s="6" t="s">
        <v>44</v>
      </c>
      <c r="Q2682" s="8" t="s">
        <v>45</v>
      </c>
      <c r="R2682" s="10" t="s">
        <v>8084</v>
      </c>
      <c r="S2682" s="11"/>
      <c r="T2682" s="6"/>
      <c r="U2682" s="24" t="str">
        <f>HYPERLINK("https://media.infra-m.ru/2120/2120735/cover/2120735.jpg", "Обложка")</f>
        <v>Обложка</v>
      </c>
      <c r="V2682" s="24" t="str">
        <f>HYPERLINK("https://znanium.ru/catalog/product/2120735", "Ознакомиться")</f>
        <v>Ознакомиться</v>
      </c>
      <c r="W2682" s="8" t="s">
        <v>2731</v>
      </c>
      <c r="X2682" s="6"/>
      <c r="Y2682" s="6"/>
      <c r="Z2682" s="6"/>
      <c r="AA2682" s="6" t="s">
        <v>48</v>
      </c>
      <c r="AB2682" s="8"/>
    </row>
    <row r="2683" spans="1:28" s="4" customFormat="1" ht="51.95" customHeight="1">
      <c r="A2683" s="5">
        <v>0</v>
      </c>
      <c r="B2683" s="6" t="s">
        <v>15177</v>
      </c>
      <c r="C2683" s="7">
        <v>1156.8</v>
      </c>
      <c r="D2683" s="8" t="s">
        <v>15178</v>
      </c>
      <c r="E2683" s="8" t="s">
        <v>15179</v>
      </c>
      <c r="F2683" s="8" t="s">
        <v>15180</v>
      </c>
      <c r="G2683" s="6" t="s">
        <v>38</v>
      </c>
      <c r="H2683" s="6" t="s">
        <v>39</v>
      </c>
      <c r="I2683" s="8" t="s">
        <v>40</v>
      </c>
      <c r="J2683" s="9">
        <v>1</v>
      </c>
      <c r="K2683" s="9">
        <v>186</v>
      </c>
      <c r="L2683" s="9">
        <v>2025</v>
      </c>
      <c r="M2683" s="8" t="s">
        <v>15181</v>
      </c>
      <c r="N2683" s="8" t="s">
        <v>229</v>
      </c>
      <c r="O2683" s="8" t="s">
        <v>230</v>
      </c>
      <c r="P2683" s="6" t="s">
        <v>44</v>
      </c>
      <c r="Q2683" s="8" t="s">
        <v>45</v>
      </c>
      <c r="R2683" s="10" t="s">
        <v>15182</v>
      </c>
      <c r="S2683" s="11"/>
      <c r="T2683" s="6"/>
      <c r="U2683" s="24" t="str">
        <f>HYPERLINK("https://media.infra-m.ru/2211/2211198/cover/2211198.jpg", "Обложка")</f>
        <v>Обложка</v>
      </c>
      <c r="V2683" s="24" t="str">
        <f>HYPERLINK("https://znanium.ru/catalog/product/2204131", "Ознакомиться")</f>
        <v>Ознакомиться</v>
      </c>
      <c r="W2683" s="8" t="s">
        <v>601</v>
      </c>
      <c r="X2683" s="6"/>
      <c r="Y2683" s="6"/>
      <c r="Z2683" s="6"/>
      <c r="AA2683" s="6" t="s">
        <v>68</v>
      </c>
      <c r="AB2683" s="8"/>
    </row>
    <row r="2684" spans="1:28" s="4" customFormat="1" ht="51.95" customHeight="1">
      <c r="A2684" s="5">
        <v>0</v>
      </c>
      <c r="B2684" s="6" t="s">
        <v>15183</v>
      </c>
      <c r="C2684" s="7">
        <v>1428</v>
      </c>
      <c r="D2684" s="8" t="s">
        <v>15184</v>
      </c>
      <c r="E2684" s="8" t="s">
        <v>15185</v>
      </c>
      <c r="F2684" s="8" t="s">
        <v>15186</v>
      </c>
      <c r="G2684" s="6" t="s">
        <v>81</v>
      </c>
      <c r="H2684" s="6" t="s">
        <v>39</v>
      </c>
      <c r="I2684" s="8" t="s">
        <v>40</v>
      </c>
      <c r="J2684" s="9">
        <v>1</v>
      </c>
      <c r="K2684" s="9">
        <v>259</v>
      </c>
      <c r="L2684" s="9">
        <v>2024</v>
      </c>
      <c r="M2684" s="8" t="s">
        <v>15187</v>
      </c>
      <c r="N2684" s="8" t="s">
        <v>42</v>
      </c>
      <c r="O2684" s="8" t="s">
        <v>246</v>
      </c>
      <c r="P2684" s="6" t="s">
        <v>44</v>
      </c>
      <c r="Q2684" s="8" t="s">
        <v>45</v>
      </c>
      <c r="R2684" s="10" t="s">
        <v>15188</v>
      </c>
      <c r="S2684" s="11"/>
      <c r="T2684" s="6"/>
      <c r="U2684" s="24" t="str">
        <f>HYPERLINK("https://media.infra-m.ru/2067/2067398/cover/2067398.jpg", "Обложка")</f>
        <v>Обложка</v>
      </c>
      <c r="V2684" s="24" t="str">
        <f>HYPERLINK("https://znanium.ru/catalog/product/2067398", "Ознакомиться")</f>
        <v>Ознакомиться</v>
      </c>
      <c r="W2684" s="8" t="s">
        <v>207</v>
      </c>
      <c r="X2684" s="6"/>
      <c r="Y2684" s="6"/>
      <c r="Z2684" s="6"/>
      <c r="AA2684" s="6" t="s">
        <v>76</v>
      </c>
      <c r="AB2684" s="8"/>
    </row>
    <row r="2685" spans="1:28" s="4" customFormat="1" ht="42" customHeight="1">
      <c r="A2685" s="5">
        <v>0</v>
      </c>
      <c r="B2685" s="6" t="s">
        <v>15189</v>
      </c>
      <c r="C2685" s="7">
        <v>2040</v>
      </c>
      <c r="D2685" s="8" t="s">
        <v>15190</v>
      </c>
      <c r="E2685" s="8" t="s">
        <v>15191</v>
      </c>
      <c r="F2685" s="8" t="s">
        <v>15192</v>
      </c>
      <c r="G2685" s="6" t="s">
        <v>81</v>
      </c>
      <c r="H2685" s="6" t="s">
        <v>39</v>
      </c>
      <c r="I2685" s="8" t="s">
        <v>344</v>
      </c>
      <c r="J2685" s="9">
        <v>1</v>
      </c>
      <c r="K2685" s="9">
        <v>405</v>
      </c>
      <c r="L2685" s="9">
        <v>2022</v>
      </c>
      <c r="M2685" s="8" t="s">
        <v>15193</v>
      </c>
      <c r="N2685" s="8" t="s">
        <v>220</v>
      </c>
      <c r="O2685" s="8" t="s">
        <v>1250</v>
      </c>
      <c r="P2685" s="6" t="s">
        <v>44</v>
      </c>
      <c r="Q2685" s="8" t="s">
        <v>45</v>
      </c>
      <c r="R2685" s="10" t="s">
        <v>2765</v>
      </c>
      <c r="S2685" s="11"/>
      <c r="T2685" s="6"/>
      <c r="U2685" s="24" t="str">
        <f>HYPERLINK("https://media.infra-m.ru/1878/1878593/cover/1878593.jpg", "Обложка")</f>
        <v>Обложка</v>
      </c>
      <c r="V2685" s="12"/>
      <c r="W2685" s="8" t="s">
        <v>346</v>
      </c>
      <c r="X2685" s="6"/>
      <c r="Y2685" s="6"/>
      <c r="Z2685" s="6"/>
      <c r="AA2685" s="6" t="s">
        <v>68</v>
      </c>
      <c r="AB2685" s="8"/>
    </row>
    <row r="2686" spans="1:28" s="4" customFormat="1" ht="42" customHeight="1">
      <c r="A2686" s="5">
        <v>0</v>
      </c>
      <c r="B2686" s="6" t="s">
        <v>15194</v>
      </c>
      <c r="C2686" s="7">
        <v>1128</v>
      </c>
      <c r="D2686" s="8" t="s">
        <v>15195</v>
      </c>
      <c r="E2686" s="8" t="s">
        <v>15196</v>
      </c>
      <c r="F2686" s="8" t="s">
        <v>15197</v>
      </c>
      <c r="G2686" s="6" t="s">
        <v>38</v>
      </c>
      <c r="H2686" s="6" t="s">
        <v>39</v>
      </c>
      <c r="I2686" s="8" t="s">
        <v>40</v>
      </c>
      <c r="J2686" s="9">
        <v>1</v>
      </c>
      <c r="K2686" s="9">
        <v>170</v>
      </c>
      <c r="L2686" s="9">
        <v>2025</v>
      </c>
      <c r="M2686" s="8" t="s">
        <v>15198</v>
      </c>
      <c r="N2686" s="8" t="s">
        <v>284</v>
      </c>
      <c r="O2686" s="8" t="s">
        <v>285</v>
      </c>
      <c r="P2686" s="6" t="s">
        <v>44</v>
      </c>
      <c r="Q2686" s="8" t="s">
        <v>45</v>
      </c>
      <c r="R2686" s="10" t="s">
        <v>1432</v>
      </c>
      <c r="S2686" s="11"/>
      <c r="T2686" s="6"/>
      <c r="U2686" s="24" t="str">
        <f>HYPERLINK("https://media.infra-m.ru/2224/2224333/cover/2224333.jpg", "Обложка")</f>
        <v>Обложка</v>
      </c>
      <c r="V2686" s="24" t="str">
        <f>HYPERLINK("https://znanium.ru/catalog/product/2224333", "Ознакомиться")</f>
        <v>Ознакомиться</v>
      </c>
      <c r="W2686" s="8" t="s">
        <v>5222</v>
      </c>
      <c r="X2686" s="6"/>
      <c r="Y2686" s="6"/>
      <c r="Z2686" s="6"/>
      <c r="AA2686" s="6" t="s">
        <v>111</v>
      </c>
      <c r="AB2686" s="8"/>
    </row>
    <row r="2687" spans="1:28" s="4" customFormat="1" ht="44.1" customHeight="1">
      <c r="A2687" s="5">
        <v>0</v>
      </c>
      <c r="B2687" s="6" t="s">
        <v>15199</v>
      </c>
      <c r="C2687" s="7">
        <v>1776</v>
      </c>
      <c r="D2687" s="8" t="s">
        <v>15200</v>
      </c>
      <c r="E2687" s="8" t="s">
        <v>15201</v>
      </c>
      <c r="F2687" s="8" t="s">
        <v>15202</v>
      </c>
      <c r="G2687" s="6" t="s">
        <v>38</v>
      </c>
      <c r="H2687" s="6" t="s">
        <v>39</v>
      </c>
      <c r="I2687" s="8" t="s">
        <v>40</v>
      </c>
      <c r="J2687" s="9">
        <v>1</v>
      </c>
      <c r="K2687" s="9">
        <v>329</v>
      </c>
      <c r="L2687" s="9">
        <v>2023</v>
      </c>
      <c r="M2687" s="8" t="s">
        <v>15203</v>
      </c>
      <c r="N2687" s="8" t="s">
        <v>284</v>
      </c>
      <c r="O2687" s="8" t="s">
        <v>2265</v>
      </c>
      <c r="P2687" s="6" t="s">
        <v>44</v>
      </c>
      <c r="Q2687" s="8" t="s">
        <v>45</v>
      </c>
      <c r="R2687" s="10" t="s">
        <v>2990</v>
      </c>
      <c r="S2687" s="11"/>
      <c r="T2687" s="6"/>
      <c r="U2687" s="24" t="str">
        <f>HYPERLINK("https://media.infra-m.ru/1897/1897101/cover/1897101.jpg", "Обложка")</f>
        <v>Обложка</v>
      </c>
      <c r="V2687" s="24" t="str">
        <f>HYPERLINK("https://znanium.ru/catalog/product/1897101", "Ознакомиться")</f>
        <v>Ознакомиться</v>
      </c>
      <c r="W2687" s="8" t="s">
        <v>516</v>
      </c>
      <c r="X2687" s="6"/>
      <c r="Y2687" s="6"/>
      <c r="Z2687" s="6"/>
      <c r="AA2687" s="6" t="s">
        <v>111</v>
      </c>
      <c r="AB2687" s="8" t="s">
        <v>917</v>
      </c>
    </row>
    <row r="2688" spans="1:28" s="4" customFormat="1" ht="42" customHeight="1">
      <c r="A2688" s="5">
        <v>0</v>
      </c>
      <c r="B2688" s="6" t="s">
        <v>15204</v>
      </c>
      <c r="C2688" s="7">
        <v>1368</v>
      </c>
      <c r="D2688" s="8" t="s">
        <v>15205</v>
      </c>
      <c r="E2688" s="8" t="s">
        <v>15206</v>
      </c>
      <c r="F2688" s="8" t="s">
        <v>15207</v>
      </c>
      <c r="G2688" s="6" t="s">
        <v>38</v>
      </c>
      <c r="H2688" s="6" t="s">
        <v>39</v>
      </c>
      <c r="I2688" s="8" t="s">
        <v>40</v>
      </c>
      <c r="J2688" s="9">
        <v>1</v>
      </c>
      <c r="K2688" s="9">
        <v>192</v>
      </c>
      <c r="L2688" s="9">
        <v>2026</v>
      </c>
      <c r="M2688" s="8" t="s">
        <v>15208</v>
      </c>
      <c r="N2688" s="8" t="s">
        <v>42</v>
      </c>
      <c r="O2688" s="8" t="s">
        <v>189</v>
      </c>
      <c r="P2688" s="6" t="s">
        <v>44</v>
      </c>
      <c r="Q2688" s="8" t="s">
        <v>45</v>
      </c>
      <c r="R2688" s="10" t="s">
        <v>915</v>
      </c>
      <c r="S2688" s="11"/>
      <c r="T2688" s="6"/>
      <c r="U2688" s="24" t="str">
        <f>HYPERLINK("https://media.infra-m.ru/2189/2189090/cover/2189090.jpg", "Обложка")</f>
        <v>Обложка</v>
      </c>
      <c r="V2688" s="24" t="str">
        <f>HYPERLINK("https://znanium.ru/catalog/product/2189090", "Ознакомиться")</f>
        <v>Ознакомиться</v>
      </c>
      <c r="W2688" s="8" t="s">
        <v>516</v>
      </c>
      <c r="X2688" s="6" t="s">
        <v>450</v>
      </c>
      <c r="Y2688" s="6"/>
      <c r="Z2688" s="6"/>
      <c r="AA2688" s="6" t="s">
        <v>833</v>
      </c>
      <c r="AB2688" s="8"/>
    </row>
    <row r="2689" spans="1:28" s="4" customFormat="1" ht="42" customHeight="1">
      <c r="A2689" s="5">
        <v>0</v>
      </c>
      <c r="B2689" s="6" t="s">
        <v>15209</v>
      </c>
      <c r="C2689" s="7">
        <v>1996.8</v>
      </c>
      <c r="D2689" s="8" t="s">
        <v>15210</v>
      </c>
      <c r="E2689" s="8" t="s">
        <v>15211</v>
      </c>
      <c r="F2689" s="8" t="s">
        <v>15212</v>
      </c>
      <c r="G2689" s="6" t="s">
        <v>81</v>
      </c>
      <c r="H2689" s="6" t="s">
        <v>39</v>
      </c>
      <c r="I2689" s="8" t="s">
        <v>40</v>
      </c>
      <c r="J2689" s="9">
        <v>1</v>
      </c>
      <c r="K2689" s="9">
        <v>320</v>
      </c>
      <c r="L2689" s="9">
        <v>2025</v>
      </c>
      <c r="M2689" s="8" t="s">
        <v>15213</v>
      </c>
      <c r="N2689" s="8" t="s">
        <v>284</v>
      </c>
      <c r="O2689" s="8" t="s">
        <v>285</v>
      </c>
      <c r="P2689" s="6" t="s">
        <v>44</v>
      </c>
      <c r="Q2689" s="8" t="s">
        <v>45</v>
      </c>
      <c r="R2689" s="10" t="s">
        <v>15214</v>
      </c>
      <c r="S2689" s="11"/>
      <c r="T2689" s="6"/>
      <c r="U2689" s="24" t="str">
        <f>HYPERLINK("https://media.infra-m.ru/2202/2202909/cover/2202909.jpg", "Обложка")</f>
        <v>Обложка</v>
      </c>
      <c r="V2689" s="24" t="str">
        <f>HYPERLINK("https://znanium.ru/catalog/product/2125137", "Ознакомиться")</f>
        <v>Ознакомиться</v>
      </c>
      <c r="W2689" s="8" t="s">
        <v>3948</v>
      </c>
      <c r="X2689" s="6"/>
      <c r="Y2689" s="6"/>
      <c r="Z2689" s="6"/>
      <c r="AA2689" s="6" t="s">
        <v>339</v>
      </c>
      <c r="AB2689" s="8"/>
    </row>
    <row r="2690" spans="1:28" s="4" customFormat="1" ht="51.95" customHeight="1">
      <c r="A2690" s="5">
        <v>0</v>
      </c>
      <c r="B2690" s="6" t="s">
        <v>15215</v>
      </c>
      <c r="C2690" s="7">
        <v>1092</v>
      </c>
      <c r="D2690" s="8" t="s">
        <v>15216</v>
      </c>
      <c r="E2690" s="8" t="s">
        <v>15217</v>
      </c>
      <c r="F2690" s="8" t="s">
        <v>15218</v>
      </c>
      <c r="G2690" s="6" t="s">
        <v>38</v>
      </c>
      <c r="H2690" s="6" t="s">
        <v>39</v>
      </c>
      <c r="I2690" s="8" t="s">
        <v>164</v>
      </c>
      <c r="J2690" s="9">
        <v>1</v>
      </c>
      <c r="K2690" s="9">
        <v>201</v>
      </c>
      <c r="L2690" s="9">
        <v>2022</v>
      </c>
      <c r="M2690" s="8" t="s">
        <v>15219</v>
      </c>
      <c r="N2690" s="8" t="s">
        <v>284</v>
      </c>
      <c r="O2690" s="8" t="s">
        <v>285</v>
      </c>
      <c r="P2690" s="6" t="s">
        <v>44</v>
      </c>
      <c r="Q2690" s="8" t="s">
        <v>45</v>
      </c>
      <c r="R2690" s="10" t="s">
        <v>15220</v>
      </c>
      <c r="S2690" s="11"/>
      <c r="T2690" s="6"/>
      <c r="U2690" s="24" t="str">
        <f>HYPERLINK("https://media.infra-m.ru/1862/1862071/cover/1862071.jpg", "Обложка")</f>
        <v>Обложка</v>
      </c>
      <c r="V2690" s="24" t="str">
        <f>HYPERLINK("https://znanium.ru/catalog/product/1862071", "Ознакомиться")</f>
        <v>Ознакомиться</v>
      </c>
      <c r="W2690" s="8" t="s">
        <v>167</v>
      </c>
      <c r="X2690" s="6"/>
      <c r="Y2690" s="6"/>
      <c r="Z2690" s="6"/>
      <c r="AA2690" s="6" t="s">
        <v>199</v>
      </c>
      <c r="AB2690" s="8"/>
    </row>
    <row r="2691" spans="1:28" s="4" customFormat="1" ht="42" customHeight="1">
      <c r="A2691" s="5">
        <v>0</v>
      </c>
      <c r="B2691" s="6" t="s">
        <v>15221</v>
      </c>
      <c r="C2691" s="7">
        <v>2184</v>
      </c>
      <c r="D2691" s="8" t="s">
        <v>15222</v>
      </c>
      <c r="E2691" s="8" t="s">
        <v>15223</v>
      </c>
      <c r="F2691" s="8" t="s">
        <v>15224</v>
      </c>
      <c r="G2691" s="6" t="s">
        <v>81</v>
      </c>
      <c r="H2691" s="6" t="s">
        <v>39</v>
      </c>
      <c r="I2691" s="8" t="s">
        <v>40</v>
      </c>
      <c r="J2691" s="9">
        <v>1</v>
      </c>
      <c r="K2691" s="9">
        <v>350</v>
      </c>
      <c r="L2691" s="9">
        <v>2026</v>
      </c>
      <c r="M2691" s="8" t="s">
        <v>15225</v>
      </c>
      <c r="N2691" s="8" t="s">
        <v>42</v>
      </c>
      <c r="O2691" s="8" t="s">
        <v>189</v>
      </c>
      <c r="P2691" s="6" t="s">
        <v>44</v>
      </c>
      <c r="Q2691" s="8" t="s">
        <v>45</v>
      </c>
      <c r="R2691" s="10" t="s">
        <v>2503</v>
      </c>
      <c r="S2691" s="11"/>
      <c r="T2691" s="6"/>
      <c r="U2691" s="24" t="str">
        <f>HYPERLINK("https://media.infra-m.ru/2216/2216847/cover/2216847.jpg", "Обложка")</f>
        <v>Обложка</v>
      </c>
      <c r="V2691" s="24" t="str">
        <f>HYPERLINK("https://znanium.ru/catalog/product/2216847", "Ознакомиться")</f>
        <v>Ознакомиться</v>
      </c>
      <c r="W2691" s="8" t="s">
        <v>3715</v>
      </c>
      <c r="X2691" s="6"/>
      <c r="Y2691" s="6"/>
      <c r="Z2691" s="6"/>
      <c r="AA2691" s="6" t="s">
        <v>369</v>
      </c>
      <c r="AB2691" s="8"/>
    </row>
    <row r="2692" spans="1:28" s="4" customFormat="1" ht="42" customHeight="1">
      <c r="A2692" s="5">
        <v>0</v>
      </c>
      <c r="B2692" s="6" t="s">
        <v>15226</v>
      </c>
      <c r="C2692" s="7">
        <v>2460</v>
      </c>
      <c r="D2692" s="8" t="s">
        <v>15227</v>
      </c>
      <c r="E2692" s="8" t="s">
        <v>15228</v>
      </c>
      <c r="F2692" s="8" t="s">
        <v>15229</v>
      </c>
      <c r="G2692" s="6" t="s">
        <v>132</v>
      </c>
      <c r="H2692" s="6" t="s">
        <v>1334</v>
      </c>
      <c r="I2692" s="8" t="s">
        <v>40</v>
      </c>
      <c r="J2692" s="9">
        <v>1</v>
      </c>
      <c r="K2692" s="9">
        <v>446</v>
      </c>
      <c r="L2692" s="9">
        <v>2024</v>
      </c>
      <c r="M2692" s="8" t="s">
        <v>15230</v>
      </c>
      <c r="N2692" s="8" t="s">
        <v>42</v>
      </c>
      <c r="O2692" s="8" t="s">
        <v>155</v>
      </c>
      <c r="P2692" s="6" t="s">
        <v>44</v>
      </c>
      <c r="Q2692" s="8" t="s">
        <v>45</v>
      </c>
      <c r="R2692" s="10" t="s">
        <v>15231</v>
      </c>
      <c r="S2692" s="11"/>
      <c r="T2692" s="6"/>
      <c r="U2692" s="24" t="str">
        <f>HYPERLINK("https://media.infra-m.ru/2076/2076819/cover/2076819.jpg", "Обложка")</f>
        <v>Обложка</v>
      </c>
      <c r="V2692" s="24" t="str">
        <f>HYPERLINK("https://znanium.ru/catalog/product/2076819", "Ознакомиться")</f>
        <v>Ознакомиться</v>
      </c>
      <c r="W2692" s="8" t="s">
        <v>516</v>
      </c>
      <c r="X2692" s="6"/>
      <c r="Y2692" s="6"/>
      <c r="Z2692" s="6"/>
      <c r="AA2692" s="6" t="s">
        <v>277</v>
      </c>
      <c r="AB2692" s="8"/>
    </row>
    <row r="2693" spans="1:28" s="4" customFormat="1" ht="42" customHeight="1">
      <c r="A2693" s="5">
        <v>0</v>
      </c>
      <c r="B2693" s="6" t="s">
        <v>15232</v>
      </c>
      <c r="C2693" s="7">
        <v>1264.8</v>
      </c>
      <c r="D2693" s="8" t="s">
        <v>15233</v>
      </c>
      <c r="E2693" s="8" t="s">
        <v>15234</v>
      </c>
      <c r="F2693" s="8" t="s">
        <v>15235</v>
      </c>
      <c r="G2693" s="6" t="s">
        <v>38</v>
      </c>
      <c r="H2693" s="6" t="s">
        <v>99</v>
      </c>
      <c r="I2693" s="8"/>
      <c r="J2693" s="9">
        <v>1</v>
      </c>
      <c r="K2693" s="9">
        <v>272</v>
      </c>
      <c r="L2693" s="9">
        <v>2024</v>
      </c>
      <c r="M2693" s="8" t="s">
        <v>15236</v>
      </c>
      <c r="N2693" s="8" t="s">
        <v>42</v>
      </c>
      <c r="O2693" s="8" t="s">
        <v>101</v>
      </c>
      <c r="P2693" s="6" t="s">
        <v>44</v>
      </c>
      <c r="Q2693" s="8" t="s">
        <v>45</v>
      </c>
      <c r="R2693" s="10" t="s">
        <v>874</v>
      </c>
      <c r="S2693" s="11"/>
      <c r="T2693" s="6"/>
      <c r="U2693" s="24" t="str">
        <f>HYPERLINK("https://media.infra-m.ru/2056/2056645/cover/2056645.jpg", "Обложка")</f>
        <v>Обложка</v>
      </c>
      <c r="V2693" s="24" t="str">
        <f>HYPERLINK("https://znanium.ru/catalog/product/978591", "Ознакомиться")</f>
        <v>Ознакомиться</v>
      </c>
      <c r="W2693" s="8" t="s">
        <v>565</v>
      </c>
      <c r="X2693" s="6"/>
      <c r="Y2693" s="6"/>
      <c r="Z2693" s="6"/>
      <c r="AA2693" s="6" t="s">
        <v>566</v>
      </c>
      <c r="AB2693" s="8"/>
    </row>
    <row r="2694" spans="1:28" s="4" customFormat="1" ht="44.1" customHeight="1">
      <c r="A2694" s="5">
        <v>0</v>
      </c>
      <c r="B2694" s="6" t="s">
        <v>15237</v>
      </c>
      <c r="C2694" s="7">
        <v>1360.8</v>
      </c>
      <c r="D2694" s="8" t="s">
        <v>15238</v>
      </c>
      <c r="E2694" s="8" t="s">
        <v>15239</v>
      </c>
      <c r="F2694" s="8" t="s">
        <v>703</v>
      </c>
      <c r="G2694" s="6" t="s">
        <v>81</v>
      </c>
      <c r="H2694" s="6" t="s">
        <v>39</v>
      </c>
      <c r="I2694" s="8" t="s">
        <v>40</v>
      </c>
      <c r="J2694" s="9">
        <v>1</v>
      </c>
      <c r="K2694" s="9">
        <v>206</v>
      </c>
      <c r="L2694" s="9">
        <v>2026</v>
      </c>
      <c r="M2694" s="8" t="s">
        <v>15240</v>
      </c>
      <c r="N2694" s="8" t="s">
        <v>54</v>
      </c>
      <c r="O2694" s="8" t="s">
        <v>55</v>
      </c>
      <c r="P2694" s="6" t="s">
        <v>44</v>
      </c>
      <c r="Q2694" s="8" t="s">
        <v>45</v>
      </c>
      <c r="R2694" s="10" t="s">
        <v>15241</v>
      </c>
      <c r="S2694" s="11"/>
      <c r="T2694" s="6"/>
      <c r="U2694" s="24" t="str">
        <f>HYPERLINK("https://media.infra-m.ru/2216/2216601/cover/2216601.jpg", "Обложка")</f>
        <v>Обложка</v>
      </c>
      <c r="V2694" s="24" t="str">
        <f>HYPERLINK("https://znanium.ru/catalog/product/2132547", "Ознакомиться")</f>
        <v>Ознакомиться</v>
      </c>
      <c r="W2694" s="8" t="s">
        <v>535</v>
      </c>
      <c r="X2694" s="6"/>
      <c r="Y2694" s="6"/>
      <c r="Z2694" s="6"/>
      <c r="AA2694" s="6" t="s">
        <v>369</v>
      </c>
      <c r="AB2694" s="8"/>
    </row>
    <row r="2695" spans="1:28" s="4" customFormat="1" ht="44.1" customHeight="1">
      <c r="A2695" s="5">
        <v>0</v>
      </c>
      <c r="B2695" s="6" t="s">
        <v>15242</v>
      </c>
      <c r="C2695" s="13">
        <v>924</v>
      </c>
      <c r="D2695" s="8" t="s">
        <v>15243</v>
      </c>
      <c r="E2695" s="8" t="s">
        <v>15244</v>
      </c>
      <c r="F2695" s="8" t="s">
        <v>15245</v>
      </c>
      <c r="G2695" s="6" t="s">
        <v>38</v>
      </c>
      <c r="H2695" s="6" t="s">
        <v>39</v>
      </c>
      <c r="I2695" s="8" t="s">
        <v>40</v>
      </c>
      <c r="J2695" s="9">
        <v>1</v>
      </c>
      <c r="K2695" s="9">
        <v>152</v>
      </c>
      <c r="L2695" s="9">
        <v>2024</v>
      </c>
      <c r="M2695" s="8" t="s">
        <v>15246</v>
      </c>
      <c r="N2695" s="8" t="s">
        <v>42</v>
      </c>
      <c r="O2695" s="8" t="s">
        <v>1002</v>
      </c>
      <c r="P2695" s="6" t="s">
        <v>44</v>
      </c>
      <c r="Q2695" s="8" t="s">
        <v>45</v>
      </c>
      <c r="R2695" s="10" t="s">
        <v>15247</v>
      </c>
      <c r="S2695" s="11"/>
      <c r="T2695" s="6"/>
      <c r="U2695" s="24" t="str">
        <f>HYPERLINK("https://media.infra-m.ru/2151/2151182/cover/2151182.jpg", "Обложка")</f>
        <v>Обложка</v>
      </c>
      <c r="V2695" s="24" t="str">
        <f>HYPERLINK("https://znanium.ru/catalog/product/2151182", "Ознакомиться")</f>
        <v>Ознакомиться</v>
      </c>
      <c r="W2695" s="8" t="s">
        <v>2080</v>
      </c>
      <c r="X2695" s="6"/>
      <c r="Y2695" s="6"/>
      <c r="Z2695" s="6"/>
      <c r="AA2695" s="6" t="s">
        <v>58</v>
      </c>
      <c r="AB2695" s="8"/>
    </row>
    <row r="2696" spans="1:28" s="4" customFormat="1" ht="44.1" customHeight="1">
      <c r="A2696" s="5">
        <v>0</v>
      </c>
      <c r="B2696" s="6" t="s">
        <v>15248</v>
      </c>
      <c r="C2696" s="7">
        <v>1524</v>
      </c>
      <c r="D2696" s="8" t="s">
        <v>15249</v>
      </c>
      <c r="E2696" s="8" t="s">
        <v>15250</v>
      </c>
      <c r="F2696" s="8" t="s">
        <v>15251</v>
      </c>
      <c r="G2696" s="6" t="s">
        <v>38</v>
      </c>
      <c r="H2696" s="6" t="s">
        <v>39</v>
      </c>
      <c r="I2696" s="8" t="s">
        <v>40</v>
      </c>
      <c r="J2696" s="9">
        <v>1</v>
      </c>
      <c r="K2696" s="9">
        <v>243</v>
      </c>
      <c r="L2696" s="9">
        <v>2025</v>
      </c>
      <c r="M2696" s="8" t="s">
        <v>15252</v>
      </c>
      <c r="N2696" s="8" t="s">
        <v>54</v>
      </c>
      <c r="O2696" s="8" t="s">
        <v>91</v>
      </c>
      <c r="P2696" s="6" t="s">
        <v>44</v>
      </c>
      <c r="Q2696" s="8" t="s">
        <v>45</v>
      </c>
      <c r="R2696" s="10" t="s">
        <v>11483</v>
      </c>
      <c r="S2696" s="11"/>
      <c r="T2696" s="6"/>
      <c r="U2696" s="24" t="str">
        <f>HYPERLINK("https://media.infra-m.ru/2194/2194906/cover/2194906.jpg", "Обложка")</f>
        <v>Обложка</v>
      </c>
      <c r="V2696" s="24" t="str">
        <f>HYPERLINK("https://znanium.ru/catalog/product/1859918", "Ознакомиться")</f>
        <v>Ознакомиться</v>
      </c>
      <c r="W2696" s="8" t="s">
        <v>846</v>
      </c>
      <c r="X2696" s="6"/>
      <c r="Y2696" s="6"/>
      <c r="Z2696" s="6"/>
      <c r="AA2696" s="6" t="s">
        <v>168</v>
      </c>
      <c r="AB2696" s="8"/>
    </row>
    <row r="2697" spans="1:28" s="4" customFormat="1" ht="42" customHeight="1">
      <c r="A2697" s="5">
        <v>0</v>
      </c>
      <c r="B2697" s="6" t="s">
        <v>15253</v>
      </c>
      <c r="C2697" s="7">
        <v>2356.8000000000002</v>
      </c>
      <c r="D2697" s="8" t="s">
        <v>15254</v>
      </c>
      <c r="E2697" s="8" t="s">
        <v>15255</v>
      </c>
      <c r="F2697" s="8" t="s">
        <v>15256</v>
      </c>
      <c r="G2697" s="6" t="s">
        <v>81</v>
      </c>
      <c r="H2697" s="6" t="s">
        <v>39</v>
      </c>
      <c r="I2697" s="8" t="s">
        <v>40</v>
      </c>
      <c r="J2697" s="9">
        <v>1</v>
      </c>
      <c r="K2697" s="9">
        <v>378</v>
      </c>
      <c r="L2697" s="9">
        <v>2025</v>
      </c>
      <c r="M2697" s="8" t="s">
        <v>15257</v>
      </c>
      <c r="N2697" s="8" t="s">
        <v>284</v>
      </c>
      <c r="O2697" s="8" t="s">
        <v>717</v>
      </c>
      <c r="P2697" s="6" t="s">
        <v>44</v>
      </c>
      <c r="Q2697" s="8" t="s">
        <v>45</v>
      </c>
      <c r="R2697" s="10" t="s">
        <v>718</v>
      </c>
      <c r="S2697" s="11"/>
      <c r="T2697" s="6"/>
      <c r="U2697" s="24" t="str">
        <f>HYPERLINK("https://media.infra-m.ru/2201/2201911/cover/2201911.jpg", "Обложка")</f>
        <v>Обложка</v>
      </c>
      <c r="V2697" s="24" t="str">
        <f>HYPERLINK("https://znanium.ru/catalog/product/1118474", "Ознакомиться")</f>
        <v>Ознакомиться</v>
      </c>
      <c r="W2697" s="8" t="s">
        <v>3137</v>
      </c>
      <c r="X2697" s="6"/>
      <c r="Y2697" s="6"/>
      <c r="Z2697" s="6"/>
      <c r="AA2697" s="6" t="s">
        <v>168</v>
      </c>
      <c r="AB2697" s="8"/>
    </row>
    <row r="2698" spans="1:28" s="4" customFormat="1" ht="51.95" customHeight="1">
      <c r="A2698" s="5">
        <v>0</v>
      </c>
      <c r="B2698" s="6" t="s">
        <v>15258</v>
      </c>
      <c r="C2698" s="13">
        <v>676.8</v>
      </c>
      <c r="D2698" s="8" t="s">
        <v>15259</v>
      </c>
      <c r="E2698" s="8" t="s">
        <v>15260</v>
      </c>
      <c r="F2698" s="8" t="s">
        <v>15261</v>
      </c>
      <c r="G2698" s="6" t="s">
        <v>38</v>
      </c>
      <c r="H2698" s="6" t="s">
        <v>182</v>
      </c>
      <c r="I2698" s="8" t="s">
        <v>40</v>
      </c>
      <c r="J2698" s="9">
        <v>1</v>
      </c>
      <c r="K2698" s="9">
        <v>110</v>
      </c>
      <c r="L2698" s="9">
        <v>2025</v>
      </c>
      <c r="M2698" s="8" t="s">
        <v>15262</v>
      </c>
      <c r="N2698" s="8" t="s">
        <v>42</v>
      </c>
      <c r="O2698" s="8" t="s">
        <v>101</v>
      </c>
      <c r="P2698" s="6" t="s">
        <v>44</v>
      </c>
      <c r="Q2698" s="8" t="s">
        <v>45</v>
      </c>
      <c r="R2698" s="10" t="s">
        <v>4388</v>
      </c>
      <c r="S2698" s="11"/>
      <c r="T2698" s="6"/>
      <c r="U2698" s="24" t="str">
        <f>HYPERLINK("https://media.infra-m.ru/2184/2184549/cover/2184549.jpg", "Обложка")</f>
        <v>Обложка</v>
      </c>
      <c r="V2698" s="12"/>
      <c r="W2698" s="8"/>
      <c r="X2698" s="6"/>
      <c r="Y2698" s="6"/>
      <c r="Z2698" s="6"/>
      <c r="AA2698" s="6" t="s">
        <v>199</v>
      </c>
      <c r="AB2698" s="8"/>
    </row>
    <row r="2699" spans="1:28" s="4" customFormat="1" ht="44.1" customHeight="1">
      <c r="A2699" s="5">
        <v>0</v>
      </c>
      <c r="B2699" s="6" t="s">
        <v>15263</v>
      </c>
      <c r="C2699" s="7">
        <v>1032</v>
      </c>
      <c r="D2699" s="8" t="s">
        <v>15264</v>
      </c>
      <c r="E2699" s="8" t="s">
        <v>15265</v>
      </c>
      <c r="F2699" s="8" t="s">
        <v>1591</v>
      </c>
      <c r="G2699" s="6" t="s">
        <v>81</v>
      </c>
      <c r="H2699" s="6" t="s">
        <v>182</v>
      </c>
      <c r="I2699" s="8" t="s">
        <v>40</v>
      </c>
      <c r="J2699" s="9">
        <v>1</v>
      </c>
      <c r="K2699" s="9">
        <v>191</v>
      </c>
      <c r="L2699" s="9">
        <v>2023</v>
      </c>
      <c r="M2699" s="8" t="s">
        <v>15266</v>
      </c>
      <c r="N2699" s="8" t="s">
        <v>42</v>
      </c>
      <c r="O2699" s="8" t="s">
        <v>65</v>
      </c>
      <c r="P2699" s="6" t="s">
        <v>44</v>
      </c>
      <c r="Q2699" s="8" t="s">
        <v>45</v>
      </c>
      <c r="R2699" s="10" t="s">
        <v>3915</v>
      </c>
      <c r="S2699" s="11"/>
      <c r="T2699" s="6"/>
      <c r="U2699" s="24" t="str">
        <f>HYPERLINK("https://media.infra-m.ru/2052/2052400/cover/2052400.jpg", "Обложка")</f>
        <v>Обложка</v>
      </c>
      <c r="V2699" s="12"/>
      <c r="W2699" s="8" t="s">
        <v>1594</v>
      </c>
      <c r="X2699" s="6"/>
      <c r="Y2699" s="6"/>
      <c r="Z2699" s="6"/>
      <c r="AA2699" s="6" t="s">
        <v>111</v>
      </c>
      <c r="AB2699" s="8"/>
    </row>
    <row r="2700" spans="1:28" s="4" customFormat="1" ht="42" customHeight="1">
      <c r="A2700" s="5">
        <v>0</v>
      </c>
      <c r="B2700" s="6" t="s">
        <v>15267</v>
      </c>
      <c r="C2700" s="7">
        <v>1996.8</v>
      </c>
      <c r="D2700" s="8" t="s">
        <v>15268</v>
      </c>
      <c r="E2700" s="8" t="s">
        <v>15269</v>
      </c>
      <c r="F2700" s="8" t="s">
        <v>15270</v>
      </c>
      <c r="G2700" s="6" t="s">
        <v>81</v>
      </c>
      <c r="H2700" s="6" t="s">
        <v>39</v>
      </c>
      <c r="I2700" s="8" t="s">
        <v>40</v>
      </c>
      <c r="J2700" s="9">
        <v>1</v>
      </c>
      <c r="K2700" s="9">
        <v>355</v>
      </c>
      <c r="L2700" s="9">
        <v>2024</v>
      </c>
      <c r="M2700" s="8" t="s">
        <v>15271</v>
      </c>
      <c r="N2700" s="8" t="s">
        <v>54</v>
      </c>
      <c r="O2700" s="8" t="s">
        <v>55</v>
      </c>
      <c r="P2700" s="6" t="s">
        <v>44</v>
      </c>
      <c r="Q2700" s="8" t="s">
        <v>45</v>
      </c>
      <c r="R2700" s="10" t="s">
        <v>3390</v>
      </c>
      <c r="S2700" s="11"/>
      <c r="T2700" s="6"/>
      <c r="U2700" s="24" t="str">
        <f>HYPERLINK("https://media.infra-m.ru/2138/2138262/cover/2138262.jpg", "Обложка")</f>
        <v>Обложка</v>
      </c>
      <c r="V2700" s="24" t="str">
        <f>HYPERLINK("https://znanium.ru/catalog/product/2231760", "Ознакомиться")</f>
        <v>Ознакомиться</v>
      </c>
      <c r="W2700" s="8" t="s">
        <v>15272</v>
      </c>
      <c r="X2700" s="6"/>
      <c r="Y2700" s="6"/>
      <c r="Z2700" s="6"/>
      <c r="AA2700" s="6" t="s">
        <v>68</v>
      </c>
      <c r="AB2700" s="8"/>
    </row>
    <row r="2701" spans="1:28" s="4" customFormat="1" ht="51.95" customHeight="1">
      <c r="A2701" s="5">
        <v>0</v>
      </c>
      <c r="B2701" s="6" t="s">
        <v>15273</v>
      </c>
      <c r="C2701" s="13">
        <v>508.8</v>
      </c>
      <c r="D2701" s="8" t="s">
        <v>15274</v>
      </c>
      <c r="E2701" s="8" t="s">
        <v>15275</v>
      </c>
      <c r="F2701" s="8" t="s">
        <v>15276</v>
      </c>
      <c r="G2701" s="6" t="s">
        <v>38</v>
      </c>
      <c r="H2701" s="6" t="s">
        <v>39</v>
      </c>
      <c r="I2701" s="8" t="s">
        <v>40</v>
      </c>
      <c r="J2701" s="9">
        <v>1</v>
      </c>
      <c r="K2701" s="9">
        <v>87</v>
      </c>
      <c r="L2701" s="9">
        <v>2024</v>
      </c>
      <c r="M2701" s="8" t="s">
        <v>15277</v>
      </c>
      <c r="N2701" s="8" t="s">
        <v>229</v>
      </c>
      <c r="O2701" s="8" t="s">
        <v>230</v>
      </c>
      <c r="P2701" s="6" t="s">
        <v>44</v>
      </c>
      <c r="Q2701" s="8" t="s">
        <v>45</v>
      </c>
      <c r="R2701" s="10" t="s">
        <v>15278</v>
      </c>
      <c r="S2701" s="11"/>
      <c r="T2701" s="6"/>
      <c r="U2701" s="24" t="str">
        <f>HYPERLINK("https://media.infra-m.ru/2094/2094499/cover/2094499.jpg", "Обложка")</f>
        <v>Обложка</v>
      </c>
      <c r="V2701" s="24" t="str">
        <f>HYPERLINK("https://znanium.ru/catalog/product/1947371", "Ознакомиться")</f>
        <v>Ознакомиться</v>
      </c>
      <c r="W2701" s="8" t="s">
        <v>149</v>
      </c>
      <c r="X2701" s="6"/>
      <c r="Y2701" s="6"/>
      <c r="Z2701" s="6"/>
      <c r="AA2701" s="6" t="s">
        <v>127</v>
      </c>
      <c r="AB2701" s="8"/>
    </row>
    <row r="2702" spans="1:28" s="4" customFormat="1" ht="51.95" customHeight="1">
      <c r="A2702" s="5">
        <v>0</v>
      </c>
      <c r="B2702" s="6" t="s">
        <v>15279</v>
      </c>
      <c r="C2702" s="7">
        <v>1624.8</v>
      </c>
      <c r="D2702" s="8" t="s">
        <v>15280</v>
      </c>
      <c r="E2702" s="8" t="s">
        <v>15281</v>
      </c>
      <c r="F2702" s="8" t="s">
        <v>15282</v>
      </c>
      <c r="G2702" s="6" t="s">
        <v>38</v>
      </c>
      <c r="H2702" s="6" t="s">
        <v>39</v>
      </c>
      <c r="I2702" s="8" t="s">
        <v>40</v>
      </c>
      <c r="J2702" s="9">
        <v>1</v>
      </c>
      <c r="K2702" s="9">
        <v>298</v>
      </c>
      <c r="L2702" s="9">
        <v>2023</v>
      </c>
      <c r="M2702" s="8" t="s">
        <v>15283</v>
      </c>
      <c r="N2702" s="8" t="s">
        <v>284</v>
      </c>
      <c r="O2702" s="8" t="s">
        <v>285</v>
      </c>
      <c r="P2702" s="6" t="s">
        <v>44</v>
      </c>
      <c r="Q2702" s="8" t="s">
        <v>45</v>
      </c>
      <c r="R2702" s="10" t="s">
        <v>15284</v>
      </c>
      <c r="S2702" s="11"/>
      <c r="T2702" s="6"/>
      <c r="U2702" s="24" t="str">
        <f>HYPERLINK("https://media.infra-m.ru/2006/2006928/cover/2006928.jpg", "Обложка")</f>
        <v>Обложка</v>
      </c>
      <c r="V2702" s="24" t="str">
        <f>HYPERLINK("https://znanium.ru/catalog/product/952211", "Ознакомиться")</f>
        <v>Ознакомиться</v>
      </c>
      <c r="W2702" s="8" t="s">
        <v>831</v>
      </c>
      <c r="X2702" s="6"/>
      <c r="Y2702" s="6"/>
      <c r="Z2702" s="6"/>
      <c r="AA2702" s="6" t="s">
        <v>76</v>
      </c>
      <c r="AB2702" s="8"/>
    </row>
    <row r="2703" spans="1:28" s="4" customFormat="1" ht="42" customHeight="1">
      <c r="A2703" s="5">
        <v>0</v>
      </c>
      <c r="B2703" s="6" t="s">
        <v>15285</v>
      </c>
      <c r="C2703" s="13">
        <v>864</v>
      </c>
      <c r="D2703" s="8" t="s">
        <v>15286</v>
      </c>
      <c r="E2703" s="8" t="s">
        <v>15287</v>
      </c>
      <c r="F2703" s="8" t="s">
        <v>15288</v>
      </c>
      <c r="G2703" s="6" t="s">
        <v>38</v>
      </c>
      <c r="H2703" s="6" t="s">
        <v>39</v>
      </c>
      <c r="I2703" s="8" t="s">
        <v>40</v>
      </c>
      <c r="J2703" s="9">
        <v>1</v>
      </c>
      <c r="K2703" s="9">
        <v>152</v>
      </c>
      <c r="L2703" s="9">
        <v>2024</v>
      </c>
      <c r="M2703" s="8" t="s">
        <v>15289</v>
      </c>
      <c r="N2703" s="8" t="s">
        <v>42</v>
      </c>
      <c r="O2703" s="8" t="s">
        <v>246</v>
      </c>
      <c r="P2703" s="6" t="s">
        <v>44</v>
      </c>
      <c r="Q2703" s="8" t="s">
        <v>45</v>
      </c>
      <c r="R2703" s="10" t="s">
        <v>4972</v>
      </c>
      <c r="S2703" s="11"/>
      <c r="T2703" s="6"/>
      <c r="U2703" s="24" t="str">
        <f>HYPERLINK("https://media.infra-m.ru/2076/2076017/cover/2076017.jpg", "Обложка")</f>
        <v>Обложка</v>
      </c>
      <c r="V2703" s="24" t="str">
        <f>HYPERLINK("https://znanium.ru/catalog/product/2076017", "Ознакомиться")</f>
        <v>Ознакомиться</v>
      </c>
      <c r="W2703" s="8" t="s">
        <v>1049</v>
      </c>
      <c r="X2703" s="6"/>
      <c r="Y2703" s="6"/>
      <c r="Z2703" s="6"/>
      <c r="AA2703" s="6" t="s">
        <v>2288</v>
      </c>
      <c r="AB2703" s="8"/>
    </row>
    <row r="2704" spans="1:28" s="4" customFormat="1" ht="44.1" customHeight="1">
      <c r="A2704" s="5">
        <v>0</v>
      </c>
      <c r="B2704" s="6" t="s">
        <v>15290</v>
      </c>
      <c r="C2704" s="7">
        <v>1499.9</v>
      </c>
      <c r="D2704" s="8" t="s">
        <v>15291</v>
      </c>
      <c r="E2704" s="8" t="s">
        <v>15292</v>
      </c>
      <c r="F2704" s="8" t="s">
        <v>15293</v>
      </c>
      <c r="G2704" s="6" t="s">
        <v>132</v>
      </c>
      <c r="H2704" s="6" t="s">
        <v>39</v>
      </c>
      <c r="I2704" s="8" t="s">
        <v>40</v>
      </c>
      <c r="J2704" s="9">
        <v>1</v>
      </c>
      <c r="K2704" s="9">
        <v>450</v>
      </c>
      <c r="L2704" s="9">
        <v>2020</v>
      </c>
      <c r="M2704" s="8" t="s">
        <v>15294</v>
      </c>
      <c r="N2704" s="8" t="s">
        <v>42</v>
      </c>
      <c r="O2704" s="8" t="s">
        <v>246</v>
      </c>
      <c r="P2704" s="6" t="s">
        <v>44</v>
      </c>
      <c r="Q2704" s="8" t="s">
        <v>45</v>
      </c>
      <c r="R2704" s="10" t="s">
        <v>190</v>
      </c>
      <c r="S2704" s="11"/>
      <c r="T2704" s="6"/>
      <c r="U2704" s="24" t="str">
        <f>HYPERLINK("https://media.infra-m.ru/1087/1087996/cover/1087996.jpg", "Обложка")</f>
        <v>Обложка</v>
      </c>
      <c r="V2704" s="24" t="str">
        <f>HYPERLINK("https://znanium.ru/catalog/product/1087996", "Ознакомиться")</f>
        <v>Ознакомиться</v>
      </c>
      <c r="W2704" s="8" t="s">
        <v>964</v>
      </c>
      <c r="X2704" s="6"/>
      <c r="Y2704" s="6"/>
      <c r="Z2704" s="6"/>
      <c r="AA2704" s="6" t="s">
        <v>168</v>
      </c>
      <c r="AB2704" s="8"/>
    </row>
    <row r="2705" spans="1:28" s="4" customFormat="1" ht="42" customHeight="1">
      <c r="A2705" s="5">
        <v>0</v>
      </c>
      <c r="B2705" s="6" t="s">
        <v>15295</v>
      </c>
      <c r="C2705" s="7">
        <v>1348.8</v>
      </c>
      <c r="D2705" s="8" t="s">
        <v>15296</v>
      </c>
      <c r="E2705" s="8" t="s">
        <v>15297</v>
      </c>
      <c r="F2705" s="8" t="s">
        <v>466</v>
      </c>
      <c r="G2705" s="6" t="s">
        <v>81</v>
      </c>
      <c r="H2705" s="6" t="s">
        <v>99</v>
      </c>
      <c r="I2705" s="8"/>
      <c r="J2705" s="9">
        <v>1</v>
      </c>
      <c r="K2705" s="9">
        <v>216</v>
      </c>
      <c r="L2705" s="9">
        <v>2025</v>
      </c>
      <c r="M2705" s="8" t="s">
        <v>15298</v>
      </c>
      <c r="N2705" s="8" t="s">
        <v>42</v>
      </c>
      <c r="O2705" s="8" t="s">
        <v>101</v>
      </c>
      <c r="P2705" s="6" t="s">
        <v>44</v>
      </c>
      <c r="Q2705" s="8" t="s">
        <v>45</v>
      </c>
      <c r="R2705" s="10" t="s">
        <v>2490</v>
      </c>
      <c r="S2705" s="11"/>
      <c r="T2705" s="6"/>
      <c r="U2705" s="24" t="str">
        <f>HYPERLINK("https://media.infra-m.ru/2205/2205970/cover/2205970.jpg", "Обложка")</f>
        <v>Обложка</v>
      </c>
      <c r="V2705" s="24" t="str">
        <f>HYPERLINK("https://znanium.ru/catalog/product/1864451", "Ознакомиться")</f>
        <v>Ознакомиться</v>
      </c>
      <c r="W2705" s="8" t="s">
        <v>418</v>
      </c>
      <c r="X2705" s="6"/>
      <c r="Y2705" s="6"/>
      <c r="Z2705" s="6"/>
      <c r="AA2705" s="6" t="s">
        <v>199</v>
      </c>
      <c r="AB2705" s="8"/>
    </row>
    <row r="2706" spans="1:28" s="4" customFormat="1" ht="42" customHeight="1">
      <c r="A2706" s="5">
        <v>0</v>
      </c>
      <c r="B2706" s="6" t="s">
        <v>15299</v>
      </c>
      <c r="C2706" s="7">
        <v>1236</v>
      </c>
      <c r="D2706" s="8" t="s">
        <v>15300</v>
      </c>
      <c r="E2706" s="8" t="s">
        <v>15301</v>
      </c>
      <c r="F2706" s="8" t="s">
        <v>1613</v>
      </c>
      <c r="G2706" s="6" t="s">
        <v>38</v>
      </c>
      <c r="H2706" s="6" t="s">
        <v>39</v>
      </c>
      <c r="I2706" s="8" t="s">
        <v>40</v>
      </c>
      <c r="J2706" s="9">
        <v>1</v>
      </c>
      <c r="K2706" s="9">
        <v>187</v>
      </c>
      <c r="L2706" s="9">
        <v>2025</v>
      </c>
      <c r="M2706" s="8" t="s">
        <v>15302</v>
      </c>
      <c r="N2706" s="8" t="s">
        <v>284</v>
      </c>
      <c r="O2706" s="8" t="s">
        <v>285</v>
      </c>
      <c r="P2706" s="6" t="s">
        <v>44</v>
      </c>
      <c r="Q2706" s="8" t="s">
        <v>45</v>
      </c>
      <c r="R2706" s="10" t="s">
        <v>1615</v>
      </c>
      <c r="S2706" s="11"/>
      <c r="T2706" s="6"/>
      <c r="U2706" s="24" t="str">
        <f>HYPERLINK("https://media.infra-m.ru/2163/2163331/cover/2163331.jpg", "Обложка")</f>
        <v>Обложка</v>
      </c>
      <c r="V2706" s="24" t="str">
        <f>HYPERLINK("https://znanium.ru/catalog/product/2163331", "Ознакомиться")</f>
        <v>Ознакомиться</v>
      </c>
      <c r="W2706" s="8" t="s">
        <v>1616</v>
      </c>
      <c r="X2706" s="6" t="s">
        <v>1188</v>
      </c>
      <c r="Y2706" s="6"/>
      <c r="Z2706" s="6"/>
      <c r="AA2706" s="6" t="s">
        <v>58</v>
      </c>
      <c r="AB2706" s="8"/>
    </row>
    <row r="2707" spans="1:28" s="4" customFormat="1" ht="42" customHeight="1">
      <c r="A2707" s="5">
        <v>0</v>
      </c>
      <c r="B2707" s="6" t="s">
        <v>15303</v>
      </c>
      <c r="C2707" s="7">
        <v>1308</v>
      </c>
      <c r="D2707" s="8" t="s">
        <v>15304</v>
      </c>
      <c r="E2707" s="8" t="s">
        <v>15305</v>
      </c>
      <c r="F2707" s="8" t="s">
        <v>15306</v>
      </c>
      <c r="G2707" s="6" t="s">
        <v>81</v>
      </c>
      <c r="H2707" s="6" t="s">
        <v>99</v>
      </c>
      <c r="I2707" s="8"/>
      <c r="J2707" s="9">
        <v>1</v>
      </c>
      <c r="K2707" s="9">
        <v>204</v>
      </c>
      <c r="L2707" s="9">
        <v>2026</v>
      </c>
      <c r="M2707" s="8" t="s">
        <v>15307</v>
      </c>
      <c r="N2707" s="8" t="s">
        <v>42</v>
      </c>
      <c r="O2707" s="8" t="s">
        <v>2306</v>
      </c>
      <c r="P2707" s="6" t="s">
        <v>44</v>
      </c>
      <c r="Q2707" s="8" t="s">
        <v>45</v>
      </c>
      <c r="R2707" s="10" t="s">
        <v>269</v>
      </c>
      <c r="S2707" s="11"/>
      <c r="T2707" s="6"/>
      <c r="U2707" s="24" t="str">
        <f>HYPERLINK("https://media.infra-m.ru/2216/2216831/cover/2216831.jpg", "Обложка")</f>
        <v>Обложка</v>
      </c>
      <c r="V2707" s="24" t="str">
        <f>HYPERLINK("https://znanium.ru/catalog/product/2216831", "Ознакомиться")</f>
        <v>Ознакомиться</v>
      </c>
      <c r="W2707" s="8" t="s">
        <v>103</v>
      </c>
      <c r="X2707" s="6"/>
      <c r="Y2707" s="6"/>
      <c r="Z2707" s="6"/>
      <c r="AA2707" s="6" t="s">
        <v>119</v>
      </c>
      <c r="AB2707" s="8"/>
    </row>
    <row r="2708" spans="1:28" s="4" customFormat="1" ht="44.1" customHeight="1">
      <c r="A2708" s="5">
        <v>0</v>
      </c>
      <c r="B2708" s="6" t="s">
        <v>15308</v>
      </c>
      <c r="C2708" s="7">
        <v>1008</v>
      </c>
      <c r="D2708" s="8" t="s">
        <v>15309</v>
      </c>
      <c r="E2708" s="8" t="s">
        <v>15310</v>
      </c>
      <c r="F2708" s="8" t="s">
        <v>15311</v>
      </c>
      <c r="G2708" s="6" t="s">
        <v>38</v>
      </c>
      <c r="H2708" s="6" t="s">
        <v>39</v>
      </c>
      <c r="I2708" s="8" t="s">
        <v>164</v>
      </c>
      <c r="J2708" s="9">
        <v>1</v>
      </c>
      <c r="K2708" s="9">
        <v>221</v>
      </c>
      <c r="L2708" s="9">
        <v>2022</v>
      </c>
      <c r="M2708" s="8" t="s">
        <v>15312</v>
      </c>
      <c r="N2708" s="8" t="s">
        <v>42</v>
      </c>
      <c r="O2708" s="8" t="s">
        <v>246</v>
      </c>
      <c r="P2708" s="6" t="s">
        <v>44</v>
      </c>
      <c r="Q2708" s="8" t="s">
        <v>45</v>
      </c>
      <c r="R2708" s="10" t="s">
        <v>3985</v>
      </c>
      <c r="S2708" s="11"/>
      <c r="T2708" s="6"/>
      <c r="U2708" s="24" t="str">
        <f>HYPERLINK("https://media.infra-m.ru/1681/1681997/cover/1681997.jpg", "Обложка")</f>
        <v>Обложка</v>
      </c>
      <c r="V2708" s="24" t="str">
        <f>HYPERLINK("https://znanium.ru/catalog/product/1681997", "Ознакомиться")</f>
        <v>Ознакомиться</v>
      </c>
      <c r="W2708" s="8" t="s">
        <v>167</v>
      </c>
      <c r="X2708" s="6"/>
      <c r="Y2708" s="6"/>
      <c r="Z2708" s="6"/>
      <c r="AA2708" s="6" t="s">
        <v>68</v>
      </c>
      <c r="AB2708" s="8" t="s">
        <v>1902</v>
      </c>
    </row>
    <row r="2709" spans="1:28" s="4" customFormat="1" ht="42" customHeight="1">
      <c r="A2709" s="5">
        <v>0</v>
      </c>
      <c r="B2709" s="6" t="s">
        <v>15313</v>
      </c>
      <c r="C2709" s="13">
        <v>960</v>
      </c>
      <c r="D2709" s="8" t="s">
        <v>15314</v>
      </c>
      <c r="E2709" s="8" t="s">
        <v>15315</v>
      </c>
      <c r="F2709" s="8" t="s">
        <v>15316</v>
      </c>
      <c r="G2709" s="6" t="s">
        <v>132</v>
      </c>
      <c r="H2709" s="6" t="s">
        <v>39</v>
      </c>
      <c r="I2709" s="8" t="s">
        <v>40</v>
      </c>
      <c r="J2709" s="9">
        <v>1</v>
      </c>
      <c r="K2709" s="9">
        <v>158</v>
      </c>
      <c r="L2709" s="9">
        <v>2025</v>
      </c>
      <c r="M2709" s="8" t="s">
        <v>15317</v>
      </c>
      <c r="N2709" s="8" t="s">
        <v>284</v>
      </c>
      <c r="O2709" s="8" t="s">
        <v>482</v>
      </c>
      <c r="P2709" s="6" t="s">
        <v>44</v>
      </c>
      <c r="Q2709" s="8" t="s">
        <v>45</v>
      </c>
      <c r="R2709" s="10" t="s">
        <v>15318</v>
      </c>
      <c r="S2709" s="11"/>
      <c r="T2709" s="6"/>
      <c r="U2709" s="24" t="str">
        <f>HYPERLINK("https://media.infra-m.ru/2137/2137606/cover/2137606.jpg", "Обложка")</f>
        <v>Обложка</v>
      </c>
      <c r="V2709" s="24" t="str">
        <f>HYPERLINK("https://znanium.ru/catalog/product/2137606", "Ознакомиться")</f>
        <v>Ознакомиться</v>
      </c>
      <c r="W2709" s="8" t="s">
        <v>15319</v>
      </c>
      <c r="X2709" s="6"/>
      <c r="Y2709" s="6"/>
      <c r="Z2709" s="6"/>
      <c r="AA2709" s="6" t="s">
        <v>159</v>
      </c>
      <c r="AB2709" s="8"/>
    </row>
    <row r="2710" spans="1:28" s="4" customFormat="1" ht="51.95" customHeight="1">
      <c r="A2710" s="5">
        <v>0</v>
      </c>
      <c r="B2710" s="6" t="s">
        <v>15320</v>
      </c>
      <c r="C2710" s="13">
        <v>401.9</v>
      </c>
      <c r="D2710" s="8" t="s">
        <v>15321</v>
      </c>
      <c r="E2710" s="8" t="s">
        <v>15322</v>
      </c>
      <c r="F2710" s="8" t="s">
        <v>15323</v>
      </c>
      <c r="G2710" s="6" t="s">
        <v>38</v>
      </c>
      <c r="H2710" s="6" t="s">
        <v>182</v>
      </c>
      <c r="I2710" s="8" t="s">
        <v>1216</v>
      </c>
      <c r="J2710" s="9">
        <v>1</v>
      </c>
      <c r="K2710" s="9">
        <v>108</v>
      </c>
      <c r="L2710" s="9">
        <v>2017</v>
      </c>
      <c r="M2710" s="8" t="s">
        <v>15324</v>
      </c>
      <c r="N2710" s="8" t="s">
        <v>42</v>
      </c>
      <c r="O2710" s="8" t="s">
        <v>246</v>
      </c>
      <c r="P2710" s="6" t="s">
        <v>44</v>
      </c>
      <c r="Q2710" s="8" t="s">
        <v>45</v>
      </c>
      <c r="R2710" s="10" t="s">
        <v>10728</v>
      </c>
      <c r="S2710" s="11"/>
      <c r="T2710" s="6"/>
      <c r="U2710" s="24" t="str">
        <f>HYPERLINK("https://media.infra-m.ru/0567/0567240/cover/567240.jpg", "Обложка")</f>
        <v>Обложка</v>
      </c>
      <c r="V2710" s="24" t="str">
        <f>HYPERLINK("https://znanium.ru/catalog/product/1866323", "Ознакомиться")</f>
        <v>Ознакомиться</v>
      </c>
      <c r="W2710" s="8"/>
      <c r="X2710" s="6"/>
      <c r="Y2710" s="6"/>
      <c r="Z2710" s="6"/>
      <c r="AA2710" s="6" t="s">
        <v>290</v>
      </c>
      <c r="AB2710" s="8"/>
    </row>
    <row r="2711" spans="1:28" s="4" customFormat="1" ht="51.95" customHeight="1">
      <c r="A2711" s="5">
        <v>0</v>
      </c>
      <c r="B2711" s="6" t="s">
        <v>15325</v>
      </c>
      <c r="C2711" s="7">
        <v>1176</v>
      </c>
      <c r="D2711" s="8" t="s">
        <v>15326</v>
      </c>
      <c r="E2711" s="8" t="s">
        <v>15327</v>
      </c>
      <c r="F2711" s="8" t="s">
        <v>15328</v>
      </c>
      <c r="G2711" s="6" t="s">
        <v>81</v>
      </c>
      <c r="H2711" s="6" t="s">
        <v>39</v>
      </c>
      <c r="I2711" s="8" t="s">
        <v>40</v>
      </c>
      <c r="J2711" s="9">
        <v>1</v>
      </c>
      <c r="K2711" s="9">
        <v>252</v>
      </c>
      <c r="L2711" s="9">
        <v>2022</v>
      </c>
      <c r="M2711" s="8" t="s">
        <v>15329</v>
      </c>
      <c r="N2711" s="8" t="s">
        <v>54</v>
      </c>
      <c r="O2711" s="8" t="s">
        <v>55</v>
      </c>
      <c r="P2711" s="6" t="s">
        <v>44</v>
      </c>
      <c r="Q2711" s="8" t="s">
        <v>45</v>
      </c>
      <c r="R2711" s="10" t="s">
        <v>666</v>
      </c>
      <c r="S2711" s="11"/>
      <c r="T2711" s="6"/>
      <c r="U2711" s="24" t="str">
        <f>HYPERLINK("https://media.infra-m.ru/1858/1858256/cover/1858256.jpg", "Обложка")</f>
        <v>Обложка</v>
      </c>
      <c r="V2711" s="24" t="str">
        <f>HYPERLINK("https://znanium.ru/catalog/product/1858256", "Ознакомиться")</f>
        <v>Ознакомиться</v>
      </c>
      <c r="W2711" s="8" t="s">
        <v>149</v>
      </c>
      <c r="X2711" s="6"/>
      <c r="Y2711" s="6"/>
      <c r="Z2711" s="6"/>
      <c r="AA2711" s="6" t="s">
        <v>1494</v>
      </c>
      <c r="AB2711" s="8"/>
    </row>
    <row r="2712" spans="1:28" s="4" customFormat="1" ht="42" customHeight="1">
      <c r="A2712" s="5">
        <v>0</v>
      </c>
      <c r="B2712" s="6" t="s">
        <v>15330</v>
      </c>
      <c r="C2712" s="7">
        <v>2668.8</v>
      </c>
      <c r="D2712" s="8" t="s">
        <v>15331</v>
      </c>
      <c r="E2712" s="8" t="s">
        <v>15332</v>
      </c>
      <c r="F2712" s="8" t="s">
        <v>3178</v>
      </c>
      <c r="G2712" s="6" t="s">
        <v>132</v>
      </c>
      <c r="H2712" s="6" t="s">
        <v>39</v>
      </c>
      <c r="I2712" s="8" t="s">
        <v>40</v>
      </c>
      <c r="J2712" s="9">
        <v>1</v>
      </c>
      <c r="K2712" s="9">
        <v>426</v>
      </c>
      <c r="L2712" s="9">
        <v>2026</v>
      </c>
      <c r="M2712" s="8" t="s">
        <v>15333</v>
      </c>
      <c r="N2712" s="8" t="s">
        <v>54</v>
      </c>
      <c r="O2712" s="8" t="s">
        <v>140</v>
      </c>
      <c r="P2712" s="6" t="s">
        <v>44</v>
      </c>
      <c r="Q2712" s="8" t="s">
        <v>45</v>
      </c>
      <c r="R2712" s="10" t="s">
        <v>15334</v>
      </c>
      <c r="S2712" s="11"/>
      <c r="T2712" s="6"/>
      <c r="U2712" s="24" t="str">
        <f>HYPERLINK("https://media.infra-m.ru/2212/2212253/cover/2212253.jpg", "Обложка")</f>
        <v>Обложка</v>
      </c>
      <c r="V2712" s="24" t="str">
        <f>HYPERLINK("https://znanium.ru/catalog/product/2212251", "Ознакомиться")</f>
        <v>Ознакомиться</v>
      </c>
      <c r="W2712" s="8" t="s">
        <v>3181</v>
      </c>
      <c r="X2712" s="6"/>
      <c r="Y2712" s="6"/>
      <c r="Z2712" s="6"/>
      <c r="AA2712" s="6" t="s">
        <v>119</v>
      </c>
      <c r="AB2712" s="8" t="s">
        <v>11935</v>
      </c>
    </row>
    <row r="2713" spans="1:28" s="4" customFormat="1" ht="42" customHeight="1">
      <c r="A2713" s="5">
        <v>0</v>
      </c>
      <c r="B2713" s="6" t="s">
        <v>15335</v>
      </c>
      <c r="C2713" s="7">
        <v>2388</v>
      </c>
      <c r="D2713" s="8" t="s">
        <v>15336</v>
      </c>
      <c r="E2713" s="8" t="s">
        <v>15337</v>
      </c>
      <c r="F2713" s="8" t="s">
        <v>15338</v>
      </c>
      <c r="G2713" s="6" t="s">
        <v>81</v>
      </c>
      <c r="H2713" s="6" t="s">
        <v>182</v>
      </c>
      <c r="I2713" s="8" t="s">
        <v>40</v>
      </c>
      <c r="J2713" s="9">
        <v>1</v>
      </c>
      <c r="K2713" s="9">
        <v>590</v>
      </c>
      <c r="L2713" s="9">
        <v>2022</v>
      </c>
      <c r="M2713" s="8" t="s">
        <v>15339</v>
      </c>
      <c r="N2713" s="8" t="s">
        <v>42</v>
      </c>
      <c r="O2713" s="8" t="s">
        <v>101</v>
      </c>
      <c r="P2713" s="6" t="s">
        <v>44</v>
      </c>
      <c r="Q2713" s="8" t="s">
        <v>45</v>
      </c>
      <c r="R2713" s="10" t="s">
        <v>269</v>
      </c>
      <c r="S2713" s="11"/>
      <c r="T2713" s="6"/>
      <c r="U2713" s="24" t="str">
        <f>HYPERLINK("https://media.infra-m.ru/1863/1863277/cover/1863277.jpg", "Обложка")</f>
        <v>Обложка</v>
      </c>
      <c r="V2713" s="12"/>
      <c r="W2713" s="8" t="s">
        <v>686</v>
      </c>
      <c r="X2713" s="6"/>
      <c r="Y2713" s="6"/>
      <c r="Z2713" s="6"/>
      <c r="AA2713" s="6" t="s">
        <v>111</v>
      </c>
      <c r="AB2713" s="8"/>
    </row>
    <row r="2714" spans="1:28" s="4" customFormat="1" ht="51.95" customHeight="1">
      <c r="A2714" s="5">
        <v>0</v>
      </c>
      <c r="B2714" s="6" t="s">
        <v>15340</v>
      </c>
      <c r="C2714" s="7">
        <v>1236</v>
      </c>
      <c r="D2714" s="8" t="s">
        <v>15341</v>
      </c>
      <c r="E2714" s="8" t="s">
        <v>15337</v>
      </c>
      <c r="F2714" s="8" t="s">
        <v>15342</v>
      </c>
      <c r="G2714" s="6" t="s">
        <v>132</v>
      </c>
      <c r="H2714" s="6" t="s">
        <v>182</v>
      </c>
      <c r="I2714" s="8" t="s">
        <v>40</v>
      </c>
      <c r="J2714" s="9">
        <v>1</v>
      </c>
      <c r="K2714" s="9">
        <v>263</v>
      </c>
      <c r="L2714" s="9">
        <v>2022</v>
      </c>
      <c r="M2714" s="8" t="s">
        <v>15343</v>
      </c>
      <c r="N2714" s="8" t="s">
        <v>42</v>
      </c>
      <c r="O2714" s="8" t="s">
        <v>101</v>
      </c>
      <c r="P2714" s="6" t="s">
        <v>44</v>
      </c>
      <c r="Q2714" s="8" t="s">
        <v>45</v>
      </c>
      <c r="R2714" s="10" t="s">
        <v>2280</v>
      </c>
      <c r="S2714" s="11"/>
      <c r="T2714" s="6"/>
      <c r="U2714" s="24" t="str">
        <f>HYPERLINK("https://media.infra-m.ru/1862/1862590/cover/1862590.jpg", "Обложка")</f>
        <v>Обложка</v>
      </c>
      <c r="V2714" s="12"/>
      <c r="W2714" s="8" t="s">
        <v>686</v>
      </c>
      <c r="X2714" s="6"/>
      <c r="Y2714" s="6"/>
      <c r="Z2714" s="6"/>
      <c r="AA2714" s="6" t="s">
        <v>111</v>
      </c>
      <c r="AB2714" s="8"/>
    </row>
    <row r="2715" spans="1:28" s="4" customFormat="1" ht="42" customHeight="1">
      <c r="A2715" s="5">
        <v>0</v>
      </c>
      <c r="B2715" s="6" t="s">
        <v>15344</v>
      </c>
      <c r="C2715" s="13">
        <v>624</v>
      </c>
      <c r="D2715" s="8" t="s">
        <v>15345</v>
      </c>
      <c r="E2715" s="8" t="s">
        <v>15346</v>
      </c>
      <c r="F2715" s="8" t="s">
        <v>15347</v>
      </c>
      <c r="G2715" s="6" t="s">
        <v>38</v>
      </c>
      <c r="H2715" s="6" t="s">
        <v>182</v>
      </c>
      <c r="I2715" s="8" t="s">
        <v>40</v>
      </c>
      <c r="J2715" s="9">
        <v>1</v>
      </c>
      <c r="K2715" s="9">
        <v>140</v>
      </c>
      <c r="L2715" s="9">
        <v>2021</v>
      </c>
      <c r="M2715" s="8" t="s">
        <v>15348</v>
      </c>
      <c r="N2715" s="8" t="s">
        <v>42</v>
      </c>
      <c r="O2715" s="8" t="s">
        <v>101</v>
      </c>
      <c r="P2715" s="6" t="s">
        <v>44</v>
      </c>
      <c r="Q2715" s="8" t="s">
        <v>45</v>
      </c>
      <c r="R2715" s="10" t="s">
        <v>564</v>
      </c>
      <c r="S2715" s="11"/>
      <c r="T2715" s="6"/>
      <c r="U2715" s="24" t="str">
        <f>HYPERLINK("https://media.infra-m.ru/1277/1277649/cover/1277649.jpg", "Обложка")</f>
        <v>Обложка</v>
      </c>
      <c r="V2715" s="24" t="str">
        <f>HYPERLINK("https://znanium.ru/catalog/product/1277649", "Ознакомиться")</f>
        <v>Ознакомиться</v>
      </c>
      <c r="W2715" s="8" t="s">
        <v>686</v>
      </c>
      <c r="X2715" s="6"/>
      <c r="Y2715" s="6"/>
      <c r="Z2715" s="6"/>
      <c r="AA2715" s="6" t="s">
        <v>127</v>
      </c>
      <c r="AB2715" s="8"/>
    </row>
    <row r="2716" spans="1:28" s="4" customFormat="1" ht="51.95" customHeight="1">
      <c r="A2716" s="5">
        <v>0</v>
      </c>
      <c r="B2716" s="6" t="s">
        <v>15349</v>
      </c>
      <c r="C2716" s="7">
        <v>2112</v>
      </c>
      <c r="D2716" s="8" t="s">
        <v>15350</v>
      </c>
      <c r="E2716" s="8" t="s">
        <v>15351</v>
      </c>
      <c r="F2716" s="8" t="s">
        <v>15352</v>
      </c>
      <c r="G2716" s="6" t="s">
        <v>81</v>
      </c>
      <c r="H2716" s="6" t="s">
        <v>39</v>
      </c>
      <c r="I2716" s="8" t="s">
        <v>336</v>
      </c>
      <c r="J2716" s="9">
        <v>1</v>
      </c>
      <c r="K2716" s="9">
        <v>352</v>
      </c>
      <c r="L2716" s="9">
        <v>2025</v>
      </c>
      <c r="M2716" s="8" t="s">
        <v>15353</v>
      </c>
      <c r="N2716" s="8" t="s">
        <v>42</v>
      </c>
      <c r="O2716" s="8" t="s">
        <v>101</v>
      </c>
      <c r="P2716" s="6" t="s">
        <v>44</v>
      </c>
      <c r="Q2716" s="8" t="s">
        <v>45</v>
      </c>
      <c r="R2716" s="10" t="s">
        <v>6519</v>
      </c>
      <c r="S2716" s="11"/>
      <c r="T2716" s="6"/>
      <c r="U2716" s="24" t="str">
        <f>HYPERLINK("https://media.infra-m.ru/2179/2179734/cover/2179734.jpg", "Обложка")</f>
        <v>Обложка</v>
      </c>
      <c r="V2716" s="24" t="str">
        <f>HYPERLINK("https://znanium.ru/catalog/product/1877289", "Ознакомиться")</f>
        <v>Ознакомиться</v>
      </c>
      <c r="W2716" s="8" t="s">
        <v>103</v>
      </c>
      <c r="X2716" s="6"/>
      <c r="Y2716" s="6"/>
      <c r="Z2716" s="6"/>
      <c r="AA2716" s="6" t="s">
        <v>369</v>
      </c>
      <c r="AB2716" s="8"/>
    </row>
    <row r="2717" spans="1:28" s="4" customFormat="1" ht="51.95" customHeight="1">
      <c r="A2717" s="5">
        <v>0</v>
      </c>
      <c r="B2717" s="6" t="s">
        <v>15354</v>
      </c>
      <c r="C2717" s="7">
        <v>1680</v>
      </c>
      <c r="D2717" s="8" t="s">
        <v>15355</v>
      </c>
      <c r="E2717" s="8" t="s">
        <v>15356</v>
      </c>
      <c r="F2717" s="8" t="s">
        <v>15357</v>
      </c>
      <c r="G2717" s="6" t="s">
        <v>81</v>
      </c>
      <c r="H2717" s="6" t="s">
        <v>39</v>
      </c>
      <c r="I2717" s="8" t="s">
        <v>336</v>
      </c>
      <c r="J2717" s="9">
        <v>1</v>
      </c>
      <c r="K2717" s="9">
        <v>280</v>
      </c>
      <c r="L2717" s="9">
        <v>2025</v>
      </c>
      <c r="M2717" s="8" t="s">
        <v>15358</v>
      </c>
      <c r="N2717" s="8" t="s">
        <v>42</v>
      </c>
      <c r="O2717" s="8" t="s">
        <v>101</v>
      </c>
      <c r="P2717" s="6" t="s">
        <v>44</v>
      </c>
      <c r="Q2717" s="8" t="s">
        <v>45</v>
      </c>
      <c r="R2717" s="10" t="s">
        <v>6519</v>
      </c>
      <c r="S2717" s="11"/>
      <c r="T2717" s="6"/>
      <c r="U2717" s="24" t="str">
        <f>HYPERLINK("https://media.infra-m.ru/2179/2179735/cover/2179735.jpg", "Обложка")</f>
        <v>Обложка</v>
      </c>
      <c r="V2717" s="24" t="str">
        <f>HYPERLINK("https://znanium.ru/catalog/product/1894734", "Ознакомиться")</f>
        <v>Ознакомиться</v>
      </c>
      <c r="W2717" s="8" t="s">
        <v>103</v>
      </c>
      <c r="X2717" s="6"/>
      <c r="Y2717" s="6"/>
      <c r="Z2717" s="6"/>
      <c r="AA2717" s="6" t="s">
        <v>369</v>
      </c>
      <c r="AB2717" s="8"/>
    </row>
    <row r="2718" spans="1:28" s="4" customFormat="1" ht="44.1" customHeight="1">
      <c r="A2718" s="5">
        <v>0</v>
      </c>
      <c r="B2718" s="6" t="s">
        <v>15359</v>
      </c>
      <c r="C2718" s="7">
        <v>2304</v>
      </c>
      <c r="D2718" s="8" t="s">
        <v>15360</v>
      </c>
      <c r="E2718" s="8" t="s">
        <v>15361</v>
      </c>
      <c r="F2718" s="8" t="s">
        <v>15362</v>
      </c>
      <c r="G2718" s="6" t="s">
        <v>81</v>
      </c>
      <c r="H2718" s="6" t="s">
        <v>39</v>
      </c>
      <c r="I2718" s="8" t="s">
        <v>336</v>
      </c>
      <c r="J2718" s="9">
        <v>1</v>
      </c>
      <c r="K2718" s="9">
        <v>384</v>
      </c>
      <c r="L2718" s="9">
        <v>2025</v>
      </c>
      <c r="M2718" s="8" t="s">
        <v>15363</v>
      </c>
      <c r="N2718" s="8" t="s">
        <v>42</v>
      </c>
      <c r="O2718" s="8" t="s">
        <v>101</v>
      </c>
      <c r="P2718" s="6" t="s">
        <v>44</v>
      </c>
      <c r="Q2718" s="8" t="s">
        <v>45</v>
      </c>
      <c r="R2718" s="10" t="s">
        <v>468</v>
      </c>
      <c r="S2718" s="11"/>
      <c r="T2718" s="6"/>
      <c r="U2718" s="24" t="str">
        <f>HYPERLINK("https://media.infra-m.ru/2157/2157468/cover/2157468.jpg", "Обложка")</f>
        <v>Обложка</v>
      </c>
      <c r="V2718" s="24" t="str">
        <f>HYPERLINK("https://znanium.ru/catalog/product/1080555", "Ознакомиться")</f>
        <v>Ознакомиться</v>
      </c>
      <c r="W2718" s="8" t="s">
        <v>103</v>
      </c>
      <c r="X2718" s="6"/>
      <c r="Y2718" s="6"/>
      <c r="Z2718" s="6"/>
      <c r="AA2718" s="6" t="s">
        <v>369</v>
      </c>
      <c r="AB2718" s="8"/>
    </row>
    <row r="2719" spans="1:28" s="4" customFormat="1" ht="42" customHeight="1">
      <c r="A2719" s="5">
        <v>0</v>
      </c>
      <c r="B2719" s="6" t="s">
        <v>15364</v>
      </c>
      <c r="C2719" s="13">
        <v>868.8</v>
      </c>
      <c r="D2719" s="8" t="s">
        <v>15365</v>
      </c>
      <c r="E2719" s="8" t="s">
        <v>15366</v>
      </c>
      <c r="F2719" s="8" t="s">
        <v>2348</v>
      </c>
      <c r="G2719" s="6" t="s">
        <v>81</v>
      </c>
      <c r="H2719" s="6" t="s">
        <v>99</v>
      </c>
      <c r="I2719" s="8"/>
      <c r="J2719" s="9">
        <v>1</v>
      </c>
      <c r="K2719" s="9">
        <v>144</v>
      </c>
      <c r="L2719" s="9">
        <v>2025</v>
      </c>
      <c r="M2719" s="8" t="s">
        <v>15367</v>
      </c>
      <c r="N2719" s="8" t="s">
        <v>42</v>
      </c>
      <c r="O2719" s="8" t="s">
        <v>101</v>
      </c>
      <c r="P2719" s="6" t="s">
        <v>44</v>
      </c>
      <c r="Q2719" s="8" t="s">
        <v>45</v>
      </c>
      <c r="R2719" s="10" t="s">
        <v>874</v>
      </c>
      <c r="S2719" s="11"/>
      <c r="T2719" s="6"/>
      <c r="U2719" s="24" t="str">
        <f>HYPERLINK("https://media.infra-m.ru/2170/2170377/cover/2170377.jpg", "Обложка")</f>
        <v>Обложка</v>
      </c>
      <c r="V2719" s="24" t="str">
        <f>HYPERLINK("https://znanium.ru/catalog/product/1047144", "Ознакомиться")</f>
        <v>Ознакомиться</v>
      </c>
      <c r="W2719" s="8" t="s">
        <v>516</v>
      </c>
      <c r="X2719" s="6"/>
      <c r="Y2719" s="6"/>
      <c r="Z2719" s="6"/>
      <c r="AA2719" s="6" t="s">
        <v>369</v>
      </c>
      <c r="AB2719" s="8"/>
    </row>
    <row r="2720" spans="1:28" s="4" customFormat="1" ht="42" customHeight="1">
      <c r="A2720" s="5">
        <v>0</v>
      </c>
      <c r="B2720" s="6" t="s">
        <v>15368</v>
      </c>
      <c r="C2720" s="7">
        <v>1320</v>
      </c>
      <c r="D2720" s="8" t="s">
        <v>15369</v>
      </c>
      <c r="E2720" s="8" t="s">
        <v>15370</v>
      </c>
      <c r="F2720" s="8" t="s">
        <v>15371</v>
      </c>
      <c r="G2720" s="6" t="s">
        <v>81</v>
      </c>
      <c r="H2720" s="6" t="s">
        <v>39</v>
      </c>
      <c r="I2720" s="8" t="s">
        <v>336</v>
      </c>
      <c r="J2720" s="9">
        <v>1</v>
      </c>
      <c r="K2720" s="9">
        <v>312</v>
      </c>
      <c r="L2720" s="9">
        <v>2019</v>
      </c>
      <c r="M2720" s="8" t="s">
        <v>15372</v>
      </c>
      <c r="N2720" s="8" t="s">
        <v>42</v>
      </c>
      <c r="O2720" s="8" t="s">
        <v>101</v>
      </c>
      <c r="P2720" s="6" t="s">
        <v>44</v>
      </c>
      <c r="Q2720" s="8" t="s">
        <v>45</v>
      </c>
      <c r="R2720" s="10" t="s">
        <v>600</v>
      </c>
      <c r="S2720" s="11"/>
      <c r="T2720" s="6"/>
      <c r="U2720" s="24" t="str">
        <f>HYPERLINK("https://media.infra-m.ru/1039/1039347/cover/1039347.jpg", "Обложка")</f>
        <v>Обложка</v>
      </c>
      <c r="V2720" s="24" t="str">
        <f>HYPERLINK("https://znanium.ru/catalog/product/1039347", "Ознакомиться")</f>
        <v>Ознакомиться</v>
      </c>
      <c r="W2720" s="8" t="s">
        <v>103</v>
      </c>
      <c r="X2720" s="6"/>
      <c r="Y2720" s="6"/>
      <c r="Z2720" s="6"/>
      <c r="AA2720" s="6" t="s">
        <v>369</v>
      </c>
      <c r="AB2720" s="8"/>
    </row>
    <row r="2721" spans="1:28" s="4" customFormat="1" ht="44.1" customHeight="1">
      <c r="A2721" s="5">
        <v>0</v>
      </c>
      <c r="B2721" s="6" t="s">
        <v>15373</v>
      </c>
      <c r="C2721" s="7">
        <v>2200.8000000000002</v>
      </c>
      <c r="D2721" s="8" t="s">
        <v>15374</v>
      </c>
      <c r="E2721" s="8" t="s">
        <v>15375</v>
      </c>
      <c r="F2721" s="8" t="s">
        <v>2285</v>
      </c>
      <c r="G2721" s="6" t="s">
        <v>81</v>
      </c>
      <c r="H2721" s="6" t="s">
        <v>99</v>
      </c>
      <c r="I2721" s="8"/>
      <c r="J2721" s="9">
        <v>1</v>
      </c>
      <c r="K2721" s="9">
        <v>352</v>
      </c>
      <c r="L2721" s="9">
        <v>2025</v>
      </c>
      <c r="M2721" s="8" t="s">
        <v>15376</v>
      </c>
      <c r="N2721" s="8" t="s">
        <v>42</v>
      </c>
      <c r="O2721" s="8" t="s">
        <v>101</v>
      </c>
      <c r="P2721" s="6" t="s">
        <v>44</v>
      </c>
      <c r="Q2721" s="8" t="s">
        <v>45</v>
      </c>
      <c r="R2721" s="10" t="s">
        <v>1587</v>
      </c>
      <c r="S2721" s="11"/>
      <c r="T2721" s="6"/>
      <c r="U2721" s="24" t="str">
        <f>HYPERLINK("https://media.infra-m.ru/2212/2212224/cover/2212224.jpg", "Обложка")</f>
        <v>Обложка</v>
      </c>
      <c r="V2721" s="24" t="str">
        <f>HYPERLINK("https://znanium.ru/catalog/product/1832360", "Ознакомиться")</f>
        <v>Ознакомиться</v>
      </c>
      <c r="W2721" s="8" t="s">
        <v>565</v>
      </c>
      <c r="X2721" s="6"/>
      <c r="Y2721" s="6"/>
      <c r="Z2721" s="6"/>
      <c r="AA2721" s="6" t="s">
        <v>566</v>
      </c>
      <c r="AB2721" s="8"/>
    </row>
    <row r="2722" spans="1:28" s="4" customFormat="1" ht="42" customHeight="1">
      <c r="A2722" s="5">
        <v>0</v>
      </c>
      <c r="B2722" s="6" t="s">
        <v>15377</v>
      </c>
      <c r="C2722" s="7">
        <v>1080</v>
      </c>
      <c r="D2722" s="8" t="s">
        <v>15378</v>
      </c>
      <c r="E2722" s="8" t="s">
        <v>15379</v>
      </c>
      <c r="F2722" s="8" t="s">
        <v>15380</v>
      </c>
      <c r="G2722" s="6" t="s">
        <v>38</v>
      </c>
      <c r="H2722" s="6" t="s">
        <v>99</v>
      </c>
      <c r="I2722" s="8"/>
      <c r="J2722" s="9">
        <v>1</v>
      </c>
      <c r="K2722" s="9">
        <v>232</v>
      </c>
      <c r="L2722" s="9">
        <v>2022</v>
      </c>
      <c r="M2722" s="8" t="s">
        <v>15381</v>
      </c>
      <c r="N2722" s="8" t="s">
        <v>42</v>
      </c>
      <c r="O2722" s="8" t="s">
        <v>101</v>
      </c>
      <c r="P2722" s="6" t="s">
        <v>44</v>
      </c>
      <c r="Q2722" s="8" t="s">
        <v>45</v>
      </c>
      <c r="R2722" s="10" t="s">
        <v>269</v>
      </c>
      <c r="S2722" s="11"/>
      <c r="T2722" s="6"/>
      <c r="U2722" s="24" t="str">
        <f>HYPERLINK("https://media.infra-m.ru/1865/1865497/cover/1865497.jpg", "Обложка")</f>
        <v>Обложка</v>
      </c>
      <c r="V2722" s="24" t="str">
        <f>HYPERLINK("https://znanium.ru/catalog/product/1816213", "Ознакомиться")</f>
        <v>Ознакомиться</v>
      </c>
      <c r="W2722" s="8"/>
      <c r="X2722" s="6"/>
      <c r="Y2722" s="6"/>
      <c r="Z2722" s="6"/>
      <c r="AA2722" s="6" t="s">
        <v>111</v>
      </c>
      <c r="AB2722" s="8"/>
    </row>
    <row r="2723" spans="1:28" s="4" customFormat="1" ht="51.95" customHeight="1">
      <c r="A2723" s="5">
        <v>0</v>
      </c>
      <c r="B2723" s="6" t="s">
        <v>15382</v>
      </c>
      <c r="C2723" s="7">
        <v>1284</v>
      </c>
      <c r="D2723" s="8" t="s">
        <v>15383</v>
      </c>
      <c r="E2723" s="8" t="s">
        <v>15384</v>
      </c>
      <c r="F2723" s="8" t="s">
        <v>72</v>
      </c>
      <c r="G2723" s="6" t="s">
        <v>38</v>
      </c>
      <c r="H2723" s="6" t="s">
        <v>39</v>
      </c>
      <c r="I2723" s="8" t="s">
        <v>40</v>
      </c>
      <c r="J2723" s="9">
        <v>1</v>
      </c>
      <c r="K2723" s="9">
        <v>231</v>
      </c>
      <c r="L2723" s="9">
        <v>2024</v>
      </c>
      <c r="M2723" s="8" t="s">
        <v>15385</v>
      </c>
      <c r="N2723" s="8" t="s">
        <v>54</v>
      </c>
      <c r="O2723" s="8" t="s">
        <v>55</v>
      </c>
      <c r="P2723" s="6" t="s">
        <v>44</v>
      </c>
      <c r="Q2723" s="8" t="s">
        <v>45</v>
      </c>
      <c r="R2723" s="10" t="s">
        <v>15386</v>
      </c>
      <c r="S2723" s="11"/>
      <c r="T2723" s="6"/>
      <c r="U2723" s="24" t="str">
        <f>HYPERLINK("https://media.infra-m.ru/2120/2120760/cover/2120760.jpg", "Обложка")</f>
        <v>Обложка</v>
      </c>
      <c r="V2723" s="24" t="str">
        <f>HYPERLINK("https://znanium.ru/catalog/product/2120760", "Ознакомиться")</f>
        <v>Ознакомиться</v>
      </c>
      <c r="W2723" s="8" t="s">
        <v>75</v>
      </c>
      <c r="X2723" s="6"/>
      <c r="Y2723" s="6"/>
      <c r="Z2723" s="6"/>
      <c r="AA2723" s="6" t="s">
        <v>111</v>
      </c>
      <c r="AB2723" s="8"/>
    </row>
    <row r="2724" spans="1:28" s="4" customFormat="1" ht="42" customHeight="1">
      <c r="A2724" s="5">
        <v>0</v>
      </c>
      <c r="B2724" s="6" t="s">
        <v>15387</v>
      </c>
      <c r="C2724" s="7">
        <v>1140</v>
      </c>
      <c r="D2724" s="8" t="s">
        <v>15388</v>
      </c>
      <c r="E2724" s="8" t="s">
        <v>15389</v>
      </c>
      <c r="F2724" s="8" t="s">
        <v>4515</v>
      </c>
      <c r="G2724" s="6" t="s">
        <v>81</v>
      </c>
      <c r="H2724" s="6" t="s">
        <v>99</v>
      </c>
      <c r="I2724" s="8"/>
      <c r="J2724" s="9">
        <v>1</v>
      </c>
      <c r="K2724" s="9">
        <v>176</v>
      </c>
      <c r="L2724" s="9">
        <v>2026</v>
      </c>
      <c r="M2724" s="8" t="s">
        <v>15390</v>
      </c>
      <c r="N2724" s="8" t="s">
        <v>42</v>
      </c>
      <c r="O2724" s="8" t="s">
        <v>101</v>
      </c>
      <c r="P2724" s="6" t="s">
        <v>44</v>
      </c>
      <c r="Q2724" s="8" t="s">
        <v>45</v>
      </c>
      <c r="R2724" s="10" t="s">
        <v>564</v>
      </c>
      <c r="S2724" s="11"/>
      <c r="T2724" s="6"/>
      <c r="U2724" s="24" t="str">
        <f>HYPERLINK("https://media.infra-m.ru/2220/2220736/cover/2220736.jpg", "Обложка")</f>
        <v>Обложка</v>
      </c>
      <c r="V2724" s="24" t="str">
        <f>HYPERLINK("https://znanium.ru/catalog/product/2129575", "Ознакомиться")</f>
        <v>Ознакомиться</v>
      </c>
      <c r="W2724" s="8" t="s">
        <v>305</v>
      </c>
      <c r="X2724" s="6"/>
      <c r="Y2724" s="6"/>
      <c r="Z2724" s="6"/>
      <c r="AA2724" s="6" t="s">
        <v>68</v>
      </c>
      <c r="AB2724" s="8"/>
    </row>
    <row r="2725" spans="1:28" s="4" customFormat="1" ht="51.95" customHeight="1">
      <c r="A2725" s="5">
        <v>0</v>
      </c>
      <c r="B2725" s="6" t="s">
        <v>15391</v>
      </c>
      <c r="C2725" s="13">
        <v>900</v>
      </c>
      <c r="D2725" s="8" t="s">
        <v>15392</v>
      </c>
      <c r="E2725" s="8" t="s">
        <v>15393</v>
      </c>
      <c r="F2725" s="8" t="s">
        <v>72</v>
      </c>
      <c r="G2725" s="6" t="s">
        <v>38</v>
      </c>
      <c r="H2725" s="6" t="s">
        <v>39</v>
      </c>
      <c r="I2725" s="8" t="s">
        <v>40</v>
      </c>
      <c r="J2725" s="9">
        <v>1</v>
      </c>
      <c r="K2725" s="9">
        <v>157</v>
      </c>
      <c r="L2725" s="9">
        <v>2023</v>
      </c>
      <c r="M2725" s="8" t="s">
        <v>15394</v>
      </c>
      <c r="N2725" s="8" t="s">
        <v>54</v>
      </c>
      <c r="O2725" s="8" t="s">
        <v>55</v>
      </c>
      <c r="P2725" s="6" t="s">
        <v>44</v>
      </c>
      <c r="Q2725" s="8" t="s">
        <v>45</v>
      </c>
      <c r="R2725" s="10" t="s">
        <v>15395</v>
      </c>
      <c r="S2725" s="11"/>
      <c r="T2725" s="6"/>
      <c r="U2725" s="24" t="str">
        <f>HYPERLINK("https://media.infra-m.ru/1911/1911055/cover/1911055.jpg", "Обложка")</f>
        <v>Обложка</v>
      </c>
      <c r="V2725" s="24" t="str">
        <f>HYPERLINK("https://znanium.ru/catalog/product/1911055", "Ознакомиться")</f>
        <v>Ознакомиться</v>
      </c>
      <c r="W2725" s="8" t="s">
        <v>75</v>
      </c>
      <c r="X2725" s="6"/>
      <c r="Y2725" s="6"/>
      <c r="Z2725" s="6"/>
      <c r="AA2725" s="6" t="s">
        <v>119</v>
      </c>
      <c r="AB2725" s="8"/>
    </row>
    <row r="2726" spans="1:28" s="4" customFormat="1" ht="42" customHeight="1">
      <c r="A2726" s="5">
        <v>0</v>
      </c>
      <c r="B2726" s="6" t="s">
        <v>15396</v>
      </c>
      <c r="C2726" s="13">
        <v>748.8</v>
      </c>
      <c r="D2726" s="8" t="s">
        <v>15397</v>
      </c>
      <c r="E2726" s="8" t="s">
        <v>15398</v>
      </c>
      <c r="F2726" s="8" t="s">
        <v>15399</v>
      </c>
      <c r="G2726" s="6" t="s">
        <v>38</v>
      </c>
      <c r="H2726" s="6" t="s">
        <v>39</v>
      </c>
      <c r="I2726" s="8" t="s">
        <v>40</v>
      </c>
      <c r="J2726" s="9">
        <v>1</v>
      </c>
      <c r="K2726" s="9">
        <v>164</v>
      </c>
      <c r="L2726" s="9">
        <v>2021</v>
      </c>
      <c r="M2726" s="8" t="s">
        <v>15400</v>
      </c>
      <c r="N2726" s="8" t="s">
        <v>54</v>
      </c>
      <c r="O2726" s="8" t="s">
        <v>55</v>
      </c>
      <c r="P2726" s="6" t="s">
        <v>44</v>
      </c>
      <c r="Q2726" s="8" t="s">
        <v>45</v>
      </c>
      <c r="R2726" s="10" t="s">
        <v>1487</v>
      </c>
      <c r="S2726" s="11"/>
      <c r="T2726" s="6"/>
      <c r="U2726" s="24" t="str">
        <f>HYPERLINK("https://media.infra-m.ru/2082/2082127/cover/2082127.jpg", "Обложка")</f>
        <v>Обложка</v>
      </c>
      <c r="V2726" s="24" t="str">
        <f>HYPERLINK("https://znanium.ru/catalog/product/1915715", "Ознакомиться")</f>
        <v>Ознакомиться</v>
      </c>
      <c r="W2726" s="8" t="s">
        <v>3378</v>
      </c>
      <c r="X2726" s="6"/>
      <c r="Y2726" s="6"/>
      <c r="Z2726" s="6"/>
      <c r="AA2726" s="6" t="s">
        <v>199</v>
      </c>
      <c r="AB2726" s="8"/>
    </row>
    <row r="2727" spans="1:28" s="4" customFormat="1" ht="51.95" customHeight="1">
      <c r="A2727" s="5">
        <v>0</v>
      </c>
      <c r="B2727" s="6" t="s">
        <v>15401</v>
      </c>
      <c r="C2727" s="7">
        <v>1728</v>
      </c>
      <c r="D2727" s="8" t="s">
        <v>15402</v>
      </c>
      <c r="E2727" s="8" t="s">
        <v>15403</v>
      </c>
      <c r="F2727" s="8" t="s">
        <v>15404</v>
      </c>
      <c r="G2727" s="6" t="s">
        <v>81</v>
      </c>
      <c r="H2727" s="6" t="s">
        <v>39</v>
      </c>
      <c r="I2727" s="8" t="s">
        <v>40</v>
      </c>
      <c r="J2727" s="9">
        <v>1</v>
      </c>
      <c r="K2727" s="9">
        <v>294</v>
      </c>
      <c r="L2727" s="9">
        <v>2024</v>
      </c>
      <c r="M2727" s="8" t="s">
        <v>15405</v>
      </c>
      <c r="N2727" s="8" t="s">
        <v>54</v>
      </c>
      <c r="O2727" s="8" t="s">
        <v>55</v>
      </c>
      <c r="P2727" s="6" t="s">
        <v>44</v>
      </c>
      <c r="Q2727" s="8" t="s">
        <v>45</v>
      </c>
      <c r="R2727" s="10" t="s">
        <v>15406</v>
      </c>
      <c r="S2727" s="11"/>
      <c r="T2727" s="6"/>
      <c r="U2727" s="24" t="str">
        <f>HYPERLINK("https://media.infra-m.ru/2156/2156592/cover/2156592.jpg", "Обложка")</f>
        <v>Обложка</v>
      </c>
      <c r="V2727" s="24" t="str">
        <f>HYPERLINK("https://znanium.ru/catalog/product/2156592", "Ознакомиться")</f>
        <v>Ознакомиться</v>
      </c>
      <c r="W2727" s="8" t="s">
        <v>3131</v>
      </c>
      <c r="X2727" s="6"/>
      <c r="Y2727" s="6"/>
      <c r="Z2727" s="6"/>
      <c r="AA2727" s="6" t="s">
        <v>119</v>
      </c>
      <c r="AB2727" s="8"/>
    </row>
    <row r="2728" spans="1:28" s="4" customFormat="1" ht="44.1" customHeight="1">
      <c r="A2728" s="5">
        <v>0</v>
      </c>
      <c r="B2728" s="6" t="s">
        <v>15407</v>
      </c>
      <c r="C2728" s="13">
        <v>696</v>
      </c>
      <c r="D2728" s="8" t="s">
        <v>15408</v>
      </c>
      <c r="E2728" s="8" t="s">
        <v>15409</v>
      </c>
      <c r="F2728" s="8" t="s">
        <v>15410</v>
      </c>
      <c r="G2728" s="6" t="s">
        <v>38</v>
      </c>
      <c r="H2728" s="6" t="s">
        <v>39</v>
      </c>
      <c r="I2728" s="8" t="s">
        <v>40</v>
      </c>
      <c r="J2728" s="9">
        <v>1</v>
      </c>
      <c r="K2728" s="9">
        <v>124</v>
      </c>
      <c r="L2728" s="9">
        <v>2023</v>
      </c>
      <c r="M2728" s="8" t="s">
        <v>15411</v>
      </c>
      <c r="N2728" s="8" t="s">
        <v>54</v>
      </c>
      <c r="O2728" s="8" t="s">
        <v>55</v>
      </c>
      <c r="P2728" s="6" t="s">
        <v>44</v>
      </c>
      <c r="Q2728" s="8" t="s">
        <v>45</v>
      </c>
      <c r="R2728" s="10" t="s">
        <v>12296</v>
      </c>
      <c r="S2728" s="11"/>
      <c r="T2728" s="6"/>
      <c r="U2728" s="24" t="str">
        <f>HYPERLINK("https://media.infra-m.ru/2126/2126467/cover/2126467.jpg", "Обложка")</f>
        <v>Обложка</v>
      </c>
      <c r="V2728" s="24" t="str">
        <f>HYPERLINK("https://znanium.ru/catalog/product/1914196", "Ознакомиться")</f>
        <v>Ознакомиться</v>
      </c>
      <c r="W2728" s="8" t="s">
        <v>817</v>
      </c>
      <c r="X2728" s="6"/>
      <c r="Y2728" s="6"/>
      <c r="Z2728" s="6"/>
      <c r="AA2728" s="6" t="s">
        <v>290</v>
      </c>
      <c r="AB2728" s="8"/>
    </row>
    <row r="2729" spans="1:28" s="4" customFormat="1" ht="42" customHeight="1">
      <c r="A2729" s="5">
        <v>0</v>
      </c>
      <c r="B2729" s="6" t="s">
        <v>15412</v>
      </c>
      <c r="C2729" s="7">
        <v>1512</v>
      </c>
      <c r="D2729" s="8" t="s">
        <v>15413</v>
      </c>
      <c r="E2729" s="8" t="s">
        <v>15414</v>
      </c>
      <c r="F2729" s="8" t="s">
        <v>2328</v>
      </c>
      <c r="G2729" s="6" t="s">
        <v>132</v>
      </c>
      <c r="H2729" s="6" t="s">
        <v>39</v>
      </c>
      <c r="I2729" s="8" t="s">
        <v>40</v>
      </c>
      <c r="J2729" s="9">
        <v>1</v>
      </c>
      <c r="K2729" s="9">
        <v>240</v>
      </c>
      <c r="L2729" s="9">
        <v>2025</v>
      </c>
      <c r="M2729" s="8" t="s">
        <v>15415</v>
      </c>
      <c r="N2729" s="8" t="s">
        <v>54</v>
      </c>
      <c r="O2729" s="8" t="s">
        <v>55</v>
      </c>
      <c r="P2729" s="6" t="s">
        <v>44</v>
      </c>
      <c r="Q2729" s="8" t="s">
        <v>45</v>
      </c>
      <c r="R2729" s="10" t="s">
        <v>15416</v>
      </c>
      <c r="S2729" s="11"/>
      <c r="T2729" s="6"/>
      <c r="U2729" s="24" t="str">
        <f>HYPERLINK("https://media.infra-m.ru/2171/2171043/cover/2171043.jpg", "Обложка")</f>
        <v>Обложка</v>
      </c>
      <c r="V2729" s="24" t="str">
        <f>HYPERLINK("https://znanium.ru/catalog/product/2171043", "Ознакомиться")</f>
        <v>Ознакомиться</v>
      </c>
      <c r="W2729" s="8" t="s">
        <v>223</v>
      </c>
      <c r="X2729" s="6" t="s">
        <v>306</v>
      </c>
      <c r="Y2729" s="6"/>
      <c r="Z2729" s="6"/>
      <c r="AA2729" s="6" t="s">
        <v>159</v>
      </c>
      <c r="AB2729" s="8"/>
    </row>
    <row r="2730" spans="1:28" s="4" customFormat="1" ht="51.95" customHeight="1">
      <c r="A2730" s="5">
        <v>0</v>
      </c>
      <c r="B2730" s="6" t="s">
        <v>15417</v>
      </c>
      <c r="C2730" s="7">
        <v>1392</v>
      </c>
      <c r="D2730" s="8" t="s">
        <v>15418</v>
      </c>
      <c r="E2730" s="8" t="s">
        <v>15419</v>
      </c>
      <c r="F2730" s="8" t="s">
        <v>4957</v>
      </c>
      <c r="G2730" s="6" t="s">
        <v>38</v>
      </c>
      <c r="H2730" s="6" t="s">
        <v>39</v>
      </c>
      <c r="I2730" s="8" t="s">
        <v>40</v>
      </c>
      <c r="J2730" s="9">
        <v>1</v>
      </c>
      <c r="K2730" s="9">
        <v>245</v>
      </c>
      <c r="L2730" s="9">
        <v>2024</v>
      </c>
      <c r="M2730" s="8" t="s">
        <v>15420</v>
      </c>
      <c r="N2730" s="8" t="s">
        <v>284</v>
      </c>
      <c r="O2730" s="8" t="s">
        <v>383</v>
      </c>
      <c r="P2730" s="6" t="s">
        <v>44</v>
      </c>
      <c r="Q2730" s="8" t="s">
        <v>45</v>
      </c>
      <c r="R2730" s="10" t="s">
        <v>15421</v>
      </c>
      <c r="S2730" s="11"/>
      <c r="T2730" s="6"/>
      <c r="U2730" s="24" t="str">
        <f>HYPERLINK("https://media.infra-m.ru/2129/2129777/cover/2129777.jpg", "Обложка")</f>
        <v>Обложка</v>
      </c>
      <c r="V2730" s="24" t="str">
        <f>HYPERLINK("https://znanium.ru/catalog/product/2129777", "Ознакомиться")</f>
        <v>Ознакомиться</v>
      </c>
      <c r="W2730" s="8" t="s">
        <v>1457</v>
      </c>
      <c r="X2730" s="6"/>
      <c r="Y2730" s="6"/>
      <c r="Z2730" s="6"/>
      <c r="AA2730" s="6" t="s">
        <v>58</v>
      </c>
      <c r="AB2730" s="8"/>
    </row>
    <row r="2731" spans="1:28" s="4" customFormat="1" ht="42" customHeight="1">
      <c r="A2731" s="5">
        <v>0</v>
      </c>
      <c r="B2731" s="6" t="s">
        <v>15422</v>
      </c>
      <c r="C2731" s="7">
        <v>1428</v>
      </c>
      <c r="D2731" s="8" t="s">
        <v>15423</v>
      </c>
      <c r="E2731" s="8" t="s">
        <v>15424</v>
      </c>
      <c r="F2731" s="8" t="s">
        <v>15425</v>
      </c>
      <c r="G2731" s="6" t="s">
        <v>38</v>
      </c>
      <c r="H2731" s="6" t="s">
        <v>39</v>
      </c>
      <c r="I2731" s="8" t="s">
        <v>40</v>
      </c>
      <c r="J2731" s="9">
        <v>1</v>
      </c>
      <c r="K2731" s="9">
        <v>216</v>
      </c>
      <c r="L2731" s="9">
        <v>2026</v>
      </c>
      <c r="M2731" s="8" t="s">
        <v>15426</v>
      </c>
      <c r="N2731" s="8" t="s">
        <v>42</v>
      </c>
      <c r="O2731" s="8" t="s">
        <v>189</v>
      </c>
      <c r="P2731" s="6" t="s">
        <v>44</v>
      </c>
      <c r="Q2731" s="8" t="s">
        <v>45</v>
      </c>
      <c r="R2731" s="10" t="s">
        <v>15427</v>
      </c>
      <c r="S2731" s="11"/>
      <c r="T2731" s="6"/>
      <c r="U2731" s="24" t="str">
        <f>HYPERLINK("https://media.infra-m.ru/2231/2231623/cover/2231623.jpg", "Обложка")</f>
        <v>Обложка</v>
      </c>
      <c r="V2731" s="24" t="str">
        <f>HYPERLINK("https://znanium.ru/catalog/product/2231623", "Ознакомиться")</f>
        <v>Ознакомиться</v>
      </c>
      <c r="W2731" s="8" t="s">
        <v>15428</v>
      </c>
      <c r="X2731" s="6"/>
      <c r="Y2731" s="6"/>
      <c r="Z2731" s="6"/>
      <c r="AA2731" s="6" t="s">
        <v>76</v>
      </c>
      <c r="AB2731" s="8"/>
    </row>
  </sheetData>
  <mergeCells count="8">
    <mergeCell ref="A1:E1"/>
    <mergeCell ref="F1:I5"/>
    <mergeCell ref="J1:O1"/>
    <mergeCell ref="A2:E2"/>
    <mergeCell ref="J2:O5"/>
    <mergeCell ref="A3:E3"/>
    <mergeCell ref="A4:E4"/>
    <mergeCell ref="A5:E5"/>
  </mergeCells>
  <pageMargins left="0.39370078740157483" right="0.39370078740157483" top="0.39370078740157483" bottom="0.39370078740157483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USR1CV8</cp:lastModifiedBy>
  <dcterms:modified xsi:type="dcterms:W3CDTF">2025-11-04T22:19:33Z</dcterms:modified>
</cp:coreProperties>
</file>